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3450" tabRatio="598" activeTab="0"/>
  </bookViews>
  <sheets>
    <sheet name="Úvod" sheetId="1" r:id="rId1"/>
    <sheet name="Aktiva" sheetId="2" r:id="rId2"/>
    <sheet name="Pasiva" sheetId="3" r:id="rId3"/>
    <sheet name="Výsledovka" sheetId="4" r:id="rId4"/>
    <sheet name="Cash flow" sheetId="5" r:id="rId5"/>
    <sheet name="Podklady" sheetId="6" r:id="rId6"/>
    <sheet name="1. fáze" sheetId="7" r:id="rId7"/>
    <sheet name="Ocenění" sheetId="8" r:id="rId8"/>
  </sheets>
  <definedNames>
    <definedName name="rok">'Úvod'!$C$30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Mařík Miloš</author>
  </authors>
  <commentList>
    <comment ref="A25" authorId="0">
      <text>
        <r>
          <rPr>
            <b/>
            <sz val="8"/>
            <rFont val="Tahoma"/>
            <family val="2"/>
          </rPr>
          <t>Počítáno ze stavu investovanáho kapitálu k začátku roku</t>
        </r>
      </text>
    </comment>
  </commentList>
</comments>
</file>

<file path=xl/sharedStrings.xml><?xml version="1.0" encoding="utf-8"?>
<sst xmlns="http://schemas.openxmlformats.org/spreadsheetml/2006/main" count="186" uniqueCount="174">
  <si>
    <t xml:space="preserve">     Firma Benda je rodinná akciová společnost, která vyrábí a prodává masné</t>
  </si>
  <si>
    <t>výrobky. Její prodej zahrnuje různé druhy standardních uzenin velmi slušné kvality.</t>
  </si>
  <si>
    <t xml:space="preserve">     Podnik má v okrese vedoucí postavení na trhu. Chce udržet tuto tržní pozici.</t>
  </si>
  <si>
    <t>Podmínky jsou dobré, obrat v posledních letech rostl.</t>
  </si>
  <si>
    <r>
      <t>©</t>
    </r>
    <r>
      <rPr>
        <i/>
        <sz val="12"/>
        <color indexed="17"/>
        <rFont val="Times New Roman CE"/>
        <family val="1"/>
      </rPr>
      <t xml:space="preserve"> Autoři: Pavla Maříková, Miloš Mařík</t>
    </r>
  </si>
  <si>
    <t>Rok:</t>
  </si>
  <si>
    <t>Finanční investice</t>
  </si>
  <si>
    <t>Krátkod. fin. majetek</t>
  </si>
  <si>
    <t>Dluhopisy</t>
  </si>
  <si>
    <t>Bankovní úvěr</t>
  </si>
  <si>
    <t>ROZVAHA  MASOKOMBINÁTU  BENDA  A.S. (tis. Kč) - údaje k 31. 12.</t>
  </si>
  <si>
    <t>AKTIVA</t>
  </si>
  <si>
    <t>AKTIVA CELKEM</t>
  </si>
  <si>
    <t>C. OBĚŽNÁ AKTIVA</t>
  </si>
  <si>
    <t>C.I   Zásoby</t>
  </si>
  <si>
    <t>—–—–—–—–—–—–—–—–—–—–</t>
  </si>
  <si>
    <t>PASIVA</t>
  </si>
  <si>
    <t>PASIVA CELKEM</t>
  </si>
  <si>
    <t>A. VLASTNÍ KAPITÁL</t>
  </si>
  <si>
    <t>A.I      Základní kapitál</t>
  </si>
  <si>
    <t>VÝSLEDOVKA (tis. Kč)</t>
  </si>
  <si>
    <t>Daň ze zisku:</t>
  </si>
  <si>
    <t>POLOŽKA</t>
  </si>
  <si>
    <t>Odpisy</t>
  </si>
  <si>
    <t>Výnosy z finančního majetku</t>
  </si>
  <si>
    <t>Nákladové úroky</t>
  </si>
  <si>
    <t>VH za účetní období</t>
  </si>
  <si>
    <t>PENĚŽNÍ TOKY (tis. Kč)</t>
  </si>
  <si>
    <t>Změna rezerv</t>
  </si>
  <si>
    <t>PODKLADY PRO OCENĚNÍ</t>
  </si>
  <si>
    <t>a) Investovaný kapitál provozně nutný</t>
  </si>
  <si>
    <t>Provozně nenutný majetek:</t>
  </si>
  <si>
    <t xml:space="preserve"> b) Dlouhodobý finanční majetek</t>
  </si>
  <si>
    <t>Provozně nutný kapitál</t>
  </si>
  <si>
    <t>Dlouhodobý  majetek</t>
  </si>
  <si>
    <t>Pracovní kapitál</t>
  </si>
  <si>
    <t>Provozně nutný inv.kap.</t>
  </si>
  <si>
    <t>b) Podklady pro pokračující hodnotu</t>
  </si>
  <si>
    <t>Parametr</t>
  </si>
  <si>
    <t>Tempo růstu pr. zisku (g)</t>
  </si>
  <si>
    <r>
      <t>Investice netto</t>
    </r>
    <r>
      <rPr>
        <sz val="10"/>
        <color indexed="8"/>
        <rFont val="Times New Roman CE"/>
        <family val="1"/>
      </rPr>
      <t>(DM i PK)</t>
    </r>
    <r>
      <rPr>
        <sz val="12"/>
        <color indexed="8"/>
        <rFont val="Times New Roman CE"/>
        <family val="1"/>
      </rPr>
      <t>(I</t>
    </r>
    <r>
      <rPr>
        <vertAlign val="subscript"/>
        <sz val="12"/>
        <color indexed="8"/>
        <rFont val="Times New Roman CE"/>
        <family val="1"/>
      </rPr>
      <t>n</t>
    </r>
    <r>
      <rPr>
        <sz val="12"/>
        <color indexed="8"/>
        <rFont val="Times New Roman CE"/>
        <family val="1"/>
      </rPr>
      <t>)</t>
    </r>
  </si>
  <si>
    <r>
      <t>Míra investic               (m</t>
    </r>
    <r>
      <rPr>
        <vertAlign val="subscript"/>
        <sz val="12"/>
        <color indexed="8"/>
        <rFont val="Times New Roman CE"/>
        <family val="1"/>
      </rPr>
      <t>I</t>
    </r>
    <r>
      <rPr>
        <sz val="12"/>
        <color indexed="8"/>
        <rFont val="Times New Roman CE"/>
        <family val="1"/>
      </rPr>
      <t>)</t>
    </r>
  </si>
  <si>
    <t>Postup</t>
  </si>
  <si>
    <t>Výpočet</t>
  </si>
  <si>
    <t>Tempo růstu zisku (g)</t>
  </si>
  <si>
    <t>Rentabilita investic (ri)</t>
  </si>
  <si>
    <t>* Do sloupečku Volba vložte hodnoty ukazatelů, které budou podle Vašeho mínění platit</t>
  </si>
  <si>
    <t xml:space="preserve">   od konce první fáze do nekonečna. Tyto hodnoty pak použijete v parametrickém vzorci</t>
  </si>
  <si>
    <t>VOLNÉ CASH FLOW A HODNOTA PRVNÍ FÁZE</t>
  </si>
  <si>
    <t xml:space="preserve"> + Odpisy</t>
  </si>
  <si>
    <t xml:space="preserve"> + Změna rezerv</t>
  </si>
  <si>
    <r>
      <t xml:space="preserve"> - Investice do DHM brutto</t>
    </r>
    <r>
      <rPr>
        <sz val="8"/>
        <color indexed="8"/>
        <rFont val="Times New Roman CE"/>
        <family val="1"/>
      </rPr>
      <t>(prov.nutné)</t>
    </r>
  </si>
  <si>
    <r>
      <t xml:space="preserve"> - Změna prac.kapitálu</t>
    </r>
    <r>
      <rPr>
        <sz val="8"/>
        <color indexed="8"/>
        <rFont val="Times New Roman CE"/>
        <family val="1"/>
      </rPr>
      <t xml:space="preserve"> (prov.nutného)</t>
    </r>
  </si>
  <si>
    <t xml:space="preserve"> = Volné cash flow</t>
  </si>
  <si>
    <r>
      <t>Diskontní sazba (i</t>
    </r>
    <r>
      <rPr>
        <vertAlign val="subscript"/>
        <sz val="12"/>
        <color indexed="20"/>
        <rFont val="Times New Roman CE"/>
        <family val="1"/>
      </rPr>
      <t>k</t>
    </r>
    <r>
      <rPr>
        <sz val="12"/>
        <color indexed="20"/>
        <rFont val="Times New Roman CE"/>
        <family val="1"/>
      </rPr>
      <t>):</t>
    </r>
  </si>
  <si>
    <t>Odúročitel</t>
  </si>
  <si>
    <t>Diskontované volné cash flow</t>
  </si>
  <si>
    <t>Hodnota první fáze:</t>
  </si>
  <si>
    <t>OCENĚNÍ PODNIKU</t>
  </si>
  <si>
    <r>
      <t>Provozní zisk v prvním roce druhé fáze</t>
    </r>
    <r>
      <rPr>
        <sz val="12"/>
        <color indexed="50"/>
        <rFont val="Times New Roman CE"/>
        <family val="1"/>
      </rPr>
      <t xml:space="preserve"> </t>
    </r>
    <r>
      <rPr>
        <i/>
        <sz val="10"/>
        <color indexed="50"/>
        <rFont val="Times New Roman CE"/>
        <family val="1"/>
      </rPr>
      <t>(fáze prognózy nekončí v žádném extrémním bodě hospodářského cyklu)</t>
    </r>
  </si>
  <si>
    <t>Pokračující hodnota (parametrický vzorec)</t>
  </si>
  <si>
    <t>Současná hodnota první fáze</t>
  </si>
  <si>
    <t>Současná hodnota druhé fáze</t>
  </si>
  <si>
    <t>Ocenění podniku brutto</t>
  </si>
  <si>
    <t>Úročený cizí kapitál k datu ocenění</t>
  </si>
  <si>
    <t>Ocenění podniku netto (hodnota vlastního kapitálu)</t>
  </si>
  <si>
    <t>VÝSLEDNÁ HODNOTA PODNIKU (VÝNOSOVÁ)</t>
  </si>
  <si>
    <t xml:space="preserve"> c) Krátkodobé cenné papíry</t>
  </si>
  <si>
    <t xml:space="preserve"> a) Pozemky nad: </t>
  </si>
  <si>
    <t>tis. Kč</t>
  </si>
  <si>
    <t>a) Hlavní provoz podniku</t>
  </si>
  <si>
    <t>Výkonová spotřeba</t>
  </si>
  <si>
    <t>Osobní náklady</t>
  </si>
  <si>
    <t>Změna stavu rezerv</t>
  </si>
  <si>
    <t>KPVH před odpisy</t>
  </si>
  <si>
    <t>Odpisy dlouhodobého majetku</t>
  </si>
  <si>
    <t>VH z hlavního provozu (KPVH)</t>
  </si>
  <si>
    <t>b) VH z provozně nenutného majetku</t>
  </si>
  <si>
    <t>Tržby z prodeje dlouhodobého majetku</t>
  </si>
  <si>
    <t>Zůstatková cena prodaného DM</t>
  </si>
  <si>
    <t>Výnosy z dlouh. fin. majetku</t>
  </si>
  <si>
    <t>Výnosy z krátk. fin. majetku</t>
  </si>
  <si>
    <t>VH z neprovozního majetku</t>
  </si>
  <si>
    <t>c) Náklady na cizí kapitál, daň</t>
  </si>
  <si>
    <t xml:space="preserve">Daň z příjmů </t>
  </si>
  <si>
    <t>d) Celkový VH a jeho rozdělení</t>
  </si>
  <si>
    <t>Příděl do nerozděleného zisku</t>
  </si>
  <si>
    <t>Stav peněz na začátku roku</t>
  </si>
  <si>
    <t>a) CF z hlavního provozu podniku</t>
  </si>
  <si>
    <t>Korigovaný provozní VH</t>
  </si>
  <si>
    <t>Daň připadající na KPVH</t>
  </si>
  <si>
    <t>KPVH po dani</t>
  </si>
  <si>
    <t>Změna PK provozně nutného</t>
  </si>
  <si>
    <t>Provozní CF</t>
  </si>
  <si>
    <t>Investice do DM provozně nutného</t>
  </si>
  <si>
    <t>CF z provozně nutného majetku celkem</t>
  </si>
  <si>
    <t>b) CF z neprovozního majetku</t>
  </si>
  <si>
    <t>Tržby z prodaného dlouhodobého majetku</t>
  </si>
  <si>
    <t>Nákup neprovozního majetku</t>
  </si>
  <si>
    <t>CF z nenutného majetku celkem</t>
  </si>
  <si>
    <t>c) Náklady na cizí kapitál, daň, financování</t>
  </si>
  <si>
    <t>Pořízení nových úvěrů</t>
  </si>
  <si>
    <t>Splátky úvěrů</t>
  </si>
  <si>
    <t>Externí změny vlastního kapitálu</t>
  </si>
  <si>
    <t>Výplata dividend</t>
  </si>
  <si>
    <t>CF z finanční činnosti</t>
  </si>
  <si>
    <t>d) CF celkové</t>
  </si>
  <si>
    <t>CF celkové</t>
  </si>
  <si>
    <t>Stav peněz na konci roku</t>
  </si>
  <si>
    <t>Neprovozní aktiva</t>
  </si>
  <si>
    <r>
      <t>Diskontní míra (i</t>
    </r>
    <r>
      <rPr>
        <vertAlign val="subscript"/>
        <sz val="12"/>
        <color indexed="20"/>
        <rFont val="Times New Roman CE"/>
        <family val="1"/>
      </rPr>
      <t>k</t>
    </r>
    <r>
      <rPr>
        <sz val="12"/>
        <color indexed="20"/>
        <rFont val="Times New Roman CE"/>
        <family val="1"/>
      </rPr>
      <t>):</t>
    </r>
  </si>
  <si>
    <t>KPVH po upr. daních</t>
  </si>
  <si>
    <r>
      <t>Míra investic          (m</t>
    </r>
    <r>
      <rPr>
        <vertAlign val="subscript"/>
        <sz val="12"/>
        <color indexed="8"/>
        <rFont val="Times New Roman CE"/>
        <family val="0"/>
      </rPr>
      <t>I</t>
    </r>
    <r>
      <rPr>
        <sz val="12"/>
        <color indexed="8"/>
        <rFont val="Times New Roman CE"/>
        <family val="1"/>
      </rPr>
      <t>)</t>
    </r>
  </si>
  <si>
    <t>K dispozici je:</t>
  </si>
  <si>
    <t>Úkol:</t>
  </si>
  <si>
    <t>a) Komplexní finanční plán (rozvaha, výsledovka, výkaz CF)</t>
  </si>
  <si>
    <t xml:space="preserve">    v členění na provozní a neprovozní část podniku</t>
  </si>
  <si>
    <t xml:space="preserve"> c) Peníze a účty nad: </t>
  </si>
  <si>
    <t>b) Předpoklady ohledně vývoje v druhé fázi</t>
  </si>
  <si>
    <t>Volba*)</t>
  </si>
  <si>
    <t xml:space="preserve">   pro výpočet pokračující hodnoty. </t>
  </si>
  <si>
    <t xml:space="preserve">   Předpoklady pro druhou fázi:</t>
  </si>
  <si>
    <t>b) Parametrický vzorec</t>
  </si>
  <si>
    <r>
      <t>FCF v prvním roce druhé fáze</t>
    </r>
    <r>
      <rPr>
        <sz val="12"/>
        <color indexed="50"/>
        <rFont val="Times New Roman CE"/>
        <family val="1"/>
      </rPr>
      <t xml:space="preserve"> </t>
    </r>
    <r>
      <rPr>
        <i/>
        <sz val="10"/>
        <color indexed="50"/>
        <rFont val="Times New Roman CE"/>
        <family val="1"/>
      </rPr>
      <t>(fáze prognózy nekončí v žádném extrémním bodě hospodářského cyklu)</t>
    </r>
  </si>
  <si>
    <t>a) Gordonova vzorce</t>
  </si>
  <si>
    <t>b) parametrického vzorce.</t>
  </si>
  <si>
    <t>Pokračující hodnota (Gordonův vzorec)</t>
  </si>
  <si>
    <t xml:space="preserve">Ocenit podnik metodou DCF s využitím: </t>
  </si>
  <si>
    <r>
      <t>Rentabilita inv. kapitálu (r</t>
    </r>
    <r>
      <rPr>
        <vertAlign val="subscript"/>
        <sz val="12"/>
        <color indexed="8"/>
        <rFont val="Times New Roman CE"/>
        <family val="0"/>
      </rPr>
      <t>K</t>
    </r>
    <r>
      <rPr>
        <sz val="12"/>
        <color indexed="8"/>
        <rFont val="Times New Roman CE"/>
        <family val="1"/>
      </rPr>
      <t>)</t>
    </r>
  </si>
  <si>
    <r>
      <t xml:space="preserve"> - Tržní podíl Bendy se stabilizuje a </t>
    </r>
    <r>
      <rPr>
        <b/>
        <sz val="12"/>
        <rFont val="Times New Roman CE"/>
        <family val="0"/>
      </rPr>
      <t>tempo růstu</t>
    </r>
    <r>
      <rPr>
        <sz val="12"/>
        <rFont val="Times New Roman CE"/>
        <family val="0"/>
      </rPr>
      <t xml:space="preserve"> bude odpovídat dlouhodobému růstu trhu odhadnutému </t>
    </r>
  </si>
  <si>
    <t xml:space="preserve">    v závěru strategické analýzy.</t>
  </si>
  <si>
    <t>Náklady kapitálu jsou:</t>
  </si>
  <si>
    <t>DOKONČENÍ PLÁNU</t>
  </si>
  <si>
    <t>A OCENĚNÍ PODNIKU BENDA METODOU DCF</t>
  </si>
  <si>
    <t xml:space="preserve"> - Rentabilita i tempo růstu a tím i míra investic byly v 1. fázi mimořádně vysoké, jednalo se o přechodný stav.</t>
  </si>
  <si>
    <r>
      <t xml:space="preserve"> -</t>
    </r>
    <r>
      <rPr>
        <b/>
        <sz val="12"/>
        <rFont val="Times New Roman CE"/>
        <family val="0"/>
      </rPr>
      <t xml:space="preserve"> Rentabilita investic</t>
    </r>
    <r>
      <rPr>
        <sz val="12"/>
        <rFont val="Times New Roman CE"/>
        <family val="0"/>
      </rPr>
      <t xml:space="preserve">: na základě analýzy dlouhodobého konkurenčního postavení Bendy a porovnání rentability investovaného  </t>
    </r>
  </si>
  <si>
    <t xml:space="preserve">    kapitálu s podobnými podniky lze předpokládat, že by se mohla udržet ve druhé fázi asi jedno procento nad náklady kapitálu.</t>
  </si>
  <si>
    <t>Podíly na zisku pro vlastníky (návrh)</t>
  </si>
  <si>
    <t>Diference mezi celkovou daní a daní z KPVH</t>
  </si>
  <si>
    <t xml:space="preserve">   Korig. provozní VH po dani (KPVH)</t>
  </si>
  <si>
    <t>B.II Dlouhodobý hmotný majetek</t>
  </si>
  <si>
    <t xml:space="preserve">     1.1 Pozemky - potřebné</t>
  </si>
  <si>
    <t xml:space="preserve">                          - nepotřebné</t>
  </si>
  <si>
    <t xml:space="preserve">     1.2 Stavby</t>
  </si>
  <si>
    <t xml:space="preserve">     2.   Hmotné movité věci </t>
  </si>
  <si>
    <t>B.III Dlouh. finanční majetek (nepotř.)</t>
  </si>
  <si>
    <t xml:space="preserve">     1.   Materiál</t>
  </si>
  <si>
    <t xml:space="preserve">     2.   Nedokončená výroba</t>
  </si>
  <si>
    <t xml:space="preserve">     3.1 Výrobky</t>
  </si>
  <si>
    <t>C.II.2 Krátkodobé pohledávky</t>
  </si>
  <si>
    <t>C.III Krátkodobý finanční majetek</t>
  </si>
  <si>
    <t>C.IV Peněžní prostředky</t>
  </si>
  <si>
    <t xml:space="preserve">         z toho:  - potřebné</t>
  </si>
  <si>
    <t xml:space="preserve">                     - nepotřebné</t>
  </si>
  <si>
    <t>D. ČASOVÉ ROZLIŠENÍ AKTIV</t>
  </si>
  <si>
    <t>A.II     Ážio a kapitálové fondy</t>
  </si>
  <si>
    <t>A.III.   Fondy ze zisku</t>
  </si>
  <si>
    <t>A.IV.1 Nerozdělený zisk minulých let</t>
  </si>
  <si>
    <t>A.V.    VH běžného účetního období</t>
  </si>
  <si>
    <t>B.+C. CIZÍ ZDROJE</t>
  </si>
  <si>
    <t xml:space="preserve">B.   Rezervy </t>
  </si>
  <si>
    <t>C.I  Dlouhodobé závazky</t>
  </si>
  <si>
    <t xml:space="preserve">       1. Vydané dluhopisy</t>
  </si>
  <si>
    <r>
      <t xml:space="preserve">       2. Závazky k úvěrovým institucím </t>
    </r>
    <r>
      <rPr>
        <i/>
        <sz val="12"/>
        <rFont val="Times New Roman CE"/>
        <family val="1"/>
      </rPr>
      <t>(úvěry)</t>
    </r>
  </si>
  <si>
    <t>C.II Krátkodobé závazky</t>
  </si>
  <si>
    <t>C. ČASOVÉ ROZLIŠENÍ PASIV</t>
  </si>
  <si>
    <t>Tržby za prodej vlastních výrobků</t>
  </si>
  <si>
    <t>Změna stavu zásob vlastní činnosti (-)</t>
  </si>
  <si>
    <t xml:space="preserve">    být udržitelná ve druhé fázi.</t>
  </si>
  <si>
    <t xml:space="preserve">    Zároveň rentabilita investovaného kapitálu ke konci první fáze se již blíží stabilizované úrovni rentability, která by mohla</t>
  </si>
  <si>
    <t>a) Gordonův vzorec</t>
  </si>
  <si>
    <t>VÝSLEDNÁ HODNOTA PODNIKU - konečný výsledek pro kontrolu</t>
  </si>
  <si>
    <t>B. STÁLÁ AKTIVA</t>
  </si>
  <si>
    <t xml:space="preserve">     (tj. nutné pozemky mají v rozvaze celkovou hodnotu 20 mil. Kč)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</si>
</sst>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\-yy_)"/>
    <numFmt numFmtId="167" formatCode="0.00_)"/>
    <numFmt numFmtId="168" formatCode="0.0%"/>
    <numFmt numFmtId="169" formatCode="#,##0_)"/>
    <numFmt numFmtId="170" formatCode="#,##0_);\(#,##0\)"/>
    <numFmt numFmtId="171" formatCode="0.0000_)"/>
  </numFmts>
  <fonts count="8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u val="single"/>
      <sz val="18"/>
      <color indexed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0"/>
    </font>
    <font>
      <b/>
      <sz val="12"/>
      <color indexed="12"/>
      <name val="Times New Roman CE"/>
      <family val="0"/>
    </font>
    <font>
      <i/>
      <sz val="18"/>
      <color indexed="17"/>
      <name val="Times New Roman CE"/>
      <family val="1"/>
    </font>
    <font>
      <i/>
      <sz val="12"/>
      <color indexed="17"/>
      <name val="Times New Roman CE"/>
      <family val="1"/>
    </font>
    <font>
      <b/>
      <sz val="12"/>
      <color indexed="16"/>
      <name val="Times New Roman CE"/>
      <family val="1"/>
    </font>
    <font>
      <b/>
      <sz val="12"/>
      <color indexed="17"/>
      <name val="Times New Roman CE"/>
      <family val="1"/>
    </font>
    <font>
      <b/>
      <sz val="12"/>
      <color indexed="10"/>
      <name val="Times New Roman CE"/>
      <family val="1"/>
    </font>
    <font>
      <b/>
      <sz val="11"/>
      <color indexed="18"/>
      <name val="Times New Roman CE"/>
      <family val="1"/>
    </font>
    <font>
      <sz val="12"/>
      <color indexed="18"/>
      <name val="Times New Roman CE"/>
      <family val="1"/>
    </font>
    <font>
      <sz val="11"/>
      <color indexed="18"/>
      <name val="Times New Roman CE"/>
      <family val="1"/>
    </font>
    <font>
      <sz val="12"/>
      <color indexed="8"/>
      <name val="Times New Roman CE"/>
      <family val="1"/>
    </font>
    <font>
      <sz val="11"/>
      <color indexed="8"/>
      <name val="Times New Roman CE"/>
      <family val="1"/>
    </font>
    <font>
      <b/>
      <sz val="12"/>
      <color indexed="18"/>
      <name val="Times New Roman CE"/>
      <family val="1"/>
    </font>
    <font>
      <b/>
      <sz val="14"/>
      <color indexed="45"/>
      <name val="Wingdings"/>
      <family val="0"/>
    </font>
    <font>
      <b/>
      <u val="single"/>
      <sz val="12"/>
      <color indexed="16"/>
      <name val="Times New Roman CE"/>
      <family val="1"/>
    </font>
    <font>
      <sz val="11"/>
      <name val="Times New Roman CE"/>
      <family val="1"/>
    </font>
    <font>
      <b/>
      <sz val="12"/>
      <color indexed="8"/>
      <name val="Times New Roman CE"/>
      <family val="1"/>
    </font>
    <font>
      <b/>
      <i/>
      <sz val="12"/>
      <color indexed="16"/>
      <name val="Times New Roman CE"/>
      <family val="1"/>
    </font>
    <font>
      <b/>
      <sz val="12"/>
      <color indexed="20"/>
      <name val="Times New Roman CE"/>
      <family val="1"/>
    </font>
    <font>
      <sz val="10"/>
      <color indexed="8"/>
      <name val="Times New Roman CE"/>
      <family val="1"/>
    </font>
    <font>
      <vertAlign val="subscript"/>
      <sz val="12"/>
      <color indexed="8"/>
      <name val="Times New Roman CE"/>
      <family val="1"/>
    </font>
    <font>
      <sz val="12"/>
      <color indexed="20"/>
      <name val="Times New Roman CE"/>
      <family val="1"/>
    </font>
    <font>
      <i/>
      <sz val="10"/>
      <name val="Times New Roman CE"/>
      <family val="0"/>
    </font>
    <font>
      <sz val="8"/>
      <color indexed="8"/>
      <name val="Times New Roman CE"/>
      <family val="1"/>
    </font>
    <font>
      <vertAlign val="subscript"/>
      <sz val="12"/>
      <color indexed="20"/>
      <name val="Times New Roman CE"/>
      <family val="1"/>
    </font>
    <font>
      <sz val="12"/>
      <color indexed="50"/>
      <name val="Times New Roman CE"/>
      <family val="1"/>
    </font>
    <font>
      <i/>
      <sz val="10"/>
      <color indexed="50"/>
      <name val="Times New Roman CE"/>
      <family val="1"/>
    </font>
    <font>
      <sz val="10"/>
      <color indexed="20"/>
      <name val="Times New Roman CE"/>
      <family val="1"/>
    </font>
    <font>
      <b/>
      <sz val="14"/>
      <color indexed="62"/>
      <name val="Times New Roman CE"/>
      <family val="1"/>
    </font>
    <font>
      <sz val="11"/>
      <color indexed="16"/>
      <name val="Times New Roman CE"/>
      <family val="1"/>
    </font>
    <font>
      <b/>
      <sz val="11"/>
      <name val="Times New Roman CE"/>
      <family val="1"/>
    </font>
    <font>
      <b/>
      <sz val="11"/>
      <color indexed="12"/>
      <name val="Times New Roman CE"/>
      <family val="1"/>
    </font>
    <font>
      <b/>
      <sz val="11"/>
      <color indexed="8"/>
      <name val="Times New Roman CE"/>
      <family val="0"/>
    </font>
    <font>
      <b/>
      <sz val="13"/>
      <color indexed="18"/>
      <name val="Times New Roman CE"/>
      <family val="1"/>
    </font>
    <font>
      <sz val="12"/>
      <name val="Times New Roman"/>
      <family val="1"/>
    </font>
    <font>
      <i/>
      <sz val="12"/>
      <color indexed="8"/>
      <name val="Times New Roman CE"/>
      <family val="0"/>
    </font>
    <font>
      <i/>
      <sz val="12"/>
      <name val="Times New Roman"/>
      <family val="1"/>
    </font>
    <font>
      <sz val="10"/>
      <color indexed="12"/>
      <name val="Arial CE"/>
      <family val="2"/>
    </font>
    <font>
      <b/>
      <sz val="8"/>
      <name val="Tahoma"/>
      <family val="2"/>
    </font>
    <font>
      <b/>
      <sz val="12"/>
      <color indexed="12"/>
      <name val="Times New Roman"/>
      <family val="1"/>
    </font>
    <font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27"/>
      <name val="Times New Roman CE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4" tint="0.39998000860214233"/>
      <name val="Times New Roman CE"/>
      <family val="1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9" fontId="5" fillId="0" borderId="0" xfId="46" applyFont="1" applyAlignment="1">
      <alignment/>
    </xf>
    <xf numFmtId="0" fontId="1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3" fontId="13" fillId="0" borderId="13" xfId="0" applyNumberFormat="1" applyFont="1" applyFill="1" applyBorder="1" applyAlignment="1" applyProtection="1">
      <alignment/>
      <protection/>
    </xf>
    <xf numFmtId="3" fontId="13" fillId="0" borderId="14" xfId="0" applyNumberFormat="1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/>
      <protection/>
    </xf>
    <xf numFmtId="3" fontId="15" fillId="0" borderId="13" xfId="0" applyNumberFormat="1" applyFont="1" applyFill="1" applyBorder="1" applyAlignment="1" applyProtection="1">
      <alignment/>
      <protection/>
    </xf>
    <xf numFmtId="3" fontId="15" fillId="0" borderId="14" xfId="0" applyNumberFormat="1" applyFont="1" applyFill="1" applyBorder="1" applyAlignment="1" applyProtection="1">
      <alignment/>
      <protection/>
    </xf>
    <xf numFmtId="3" fontId="17" fillId="0" borderId="13" xfId="0" applyNumberFormat="1" applyFont="1" applyFill="1" applyBorder="1" applyAlignment="1" applyProtection="1">
      <alignment/>
      <protection/>
    </xf>
    <xf numFmtId="3" fontId="17" fillId="0" borderId="14" xfId="0" applyNumberFormat="1" applyFont="1" applyFill="1" applyBorder="1" applyAlignment="1" applyProtection="1">
      <alignment/>
      <protection/>
    </xf>
    <xf numFmtId="3" fontId="17" fillId="0" borderId="16" xfId="0" applyNumberFormat="1" applyFont="1" applyFill="1" applyBorder="1" applyAlignment="1" applyProtection="1">
      <alignment/>
      <protection/>
    </xf>
    <xf numFmtId="3" fontId="17" fillId="0" borderId="17" xfId="0" applyNumberFormat="1" applyFont="1" applyFill="1" applyBorder="1" applyAlignment="1" applyProtection="1">
      <alignment/>
      <protection/>
    </xf>
    <xf numFmtId="3" fontId="13" fillId="0" borderId="18" xfId="0" applyNumberFormat="1" applyFont="1" applyFill="1" applyBorder="1" applyAlignment="1" applyProtection="1">
      <alignment/>
      <protection/>
    </xf>
    <xf numFmtId="3" fontId="13" fillId="0" borderId="19" xfId="0" applyNumberFormat="1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centerContinuous"/>
    </xf>
    <xf numFmtId="0" fontId="14" fillId="0" borderId="20" xfId="0" applyFont="1" applyFill="1" applyBorder="1" applyAlignment="1" applyProtection="1">
      <alignment/>
      <protection/>
    </xf>
    <xf numFmtId="3" fontId="15" fillId="0" borderId="16" xfId="0" applyNumberFormat="1" applyFont="1" applyFill="1" applyBorder="1" applyAlignment="1" applyProtection="1">
      <alignment/>
      <protection/>
    </xf>
    <xf numFmtId="3" fontId="15" fillId="0" borderId="17" xfId="0" applyNumberFormat="1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9" fontId="6" fillId="0" borderId="0" xfId="46" applyFont="1" applyAlignment="1">
      <alignment/>
    </xf>
    <xf numFmtId="0" fontId="16" fillId="0" borderId="21" xfId="0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3" fontId="17" fillId="0" borderId="22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8" fillId="0" borderId="23" xfId="0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21" fillId="0" borderId="14" xfId="0" applyFont="1" applyBorder="1" applyAlignment="1">
      <alignment/>
    </xf>
    <xf numFmtId="0" fontId="11" fillId="0" borderId="24" xfId="0" applyFont="1" applyFill="1" applyBorder="1" applyAlignment="1" applyProtection="1">
      <alignment/>
      <protection/>
    </xf>
    <xf numFmtId="0" fontId="12" fillId="0" borderId="25" xfId="0" applyFont="1" applyFill="1" applyBorder="1" applyAlignment="1" applyProtection="1">
      <alignment/>
      <protection/>
    </xf>
    <xf numFmtId="0" fontId="16" fillId="0" borderId="25" xfId="0" applyFont="1" applyFill="1" applyBorder="1" applyAlignment="1" applyProtection="1">
      <alignment/>
      <protection/>
    </xf>
    <xf numFmtId="3" fontId="16" fillId="0" borderId="25" xfId="0" applyNumberFormat="1" applyFont="1" applyFill="1" applyBorder="1" applyAlignment="1" applyProtection="1">
      <alignment/>
      <protection/>
    </xf>
    <xf numFmtId="0" fontId="16" fillId="0" borderId="26" xfId="0" applyFont="1" applyFill="1" applyBorder="1" applyAlignment="1" applyProtection="1">
      <alignment/>
      <protection/>
    </xf>
    <xf numFmtId="3" fontId="16" fillId="0" borderId="26" xfId="0" applyNumberFormat="1" applyFont="1" applyFill="1" applyBorder="1" applyAlignment="1" applyProtection="1">
      <alignment/>
      <protection/>
    </xf>
    <xf numFmtId="0" fontId="22" fillId="0" borderId="26" xfId="0" applyFont="1" applyFill="1" applyBorder="1" applyAlignment="1" applyProtection="1">
      <alignment/>
      <protection/>
    </xf>
    <xf numFmtId="3" fontId="22" fillId="0" borderId="26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11" fillId="0" borderId="27" xfId="0" applyFont="1" applyFill="1" applyBorder="1" applyAlignment="1" applyProtection="1">
      <alignment/>
      <protection/>
    </xf>
    <xf numFmtId="0" fontId="11" fillId="0" borderId="28" xfId="0" applyFont="1" applyFill="1" applyBorder="1" applyAlignment="1" applyProtection="1">
      <alignment/>
      <protection/>
    </xf>
    <xf numFmtId="0" fontId="12" fillId="0" borderId="28" xfId="0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16" fillId="0" borderId="30" xfId="0" applyFont="1" applyFill="1" applyBorder="1" applyAlignment="1" applyProtection="1">
      <alignment/>
      <protection/>
    </xf>
    <xf numFmtId="169" fontId="16" fillId="0" borderId="31" xfId="0" applyNumberFormat="1" applyFont="1" applyFill="1" applyBorder="1" applyAlignment="1" applyProtection="1">
      <alignment/>
      <protection/>
    </xf>
    <xf numFmtId="0" fontId="16" fillId="0" borderId="32" xfId="0" applyFont="1" applyFill="1" applyBorder="1" applyAlignment="1" applyProtection="1">
      <alignment/>
      <protection/>
    </xf>
    <xf numFmtId="169" fontId="16" fillId="0" borderId="33" xfId="0" applyNumberFormat="1" applyFont="1" applyFill="1" applyBorder="1" applyAlignment="1" applyProtection="1">
      <alignment/>
      <protection/>
    </xf>
    <xf numFmtId="168" fontId="16" fillId="0" borderId="31" xfId="0" applyNumberFormat="1" applyFont="1" applyFill="1" applyBorder="1" applyAlignment="1" applyProtection="1">
      <alignment/>
      <protection/>
    </xf>
    <xf numFmtId="168" fontId="25" fillId="0" borderId="31" xfId="0" applyNumberFormat="1" applyFont="1" applyFill="1" applyBorder="1" applyAlignment="1" applyProtection="1">
      <alignment/>
      <protection/>
    </xf>
    <xf numFmtId="0" fontId="16" fillId="0" borderId="34" xfId="0" applyFont="1" applyFill="1" applyBorder="1" applyAlignment="1" applyProtection="1">
      <alignment/>
      <protection/>
    </xf>
    <xf numFmtId="168" fontId="25" fillId="0" borderId="35" xfId="0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1" fillId="0" borderId="36" xfId="0" applyFont="1" applyFill="1" applyBorder="1" applyAlignment="1" applyProtection="1">
      <alignment/>
      <protection/>
    </xf>
    <xf numFmtId="0" fontId="11" fillId="0" borderId="37" xfId="0" applyFont="1" applyFill="1" applyBorder="1" applyAlignment="1" applyProtection="1">
      <alignment/>
      <protection/>
    </xf>
    <xf numFmtId="0" fontId="11" fillId="0" borderId="38" xfId="0" applyFont="1" applyFill="1" applyBorder="1" applyAlignment="1" applyProtection="1">
      <alignment/>
      <protection/>
    </xf>
    <xf numFmtId="0" fontId="11" fillId="0" borderId="38" xfId="0" applyFont="1" applyFill="1" applyBorder="1" applyAlignment="1" applyProtection="1">
      <alignment horizontal="center"/>
      <protection/>
    </xf>
    <xf numFmtId="0" fontId="16" fillId="0" borderId="39" xfId="0" applyFont="1" applyFill="1" applyBorder="1" applyAlignment="1" applyProtection="1">
      <alignment/>
      <protection/>
    </xf>
    <xf numFmtId="0" fontId="16" fillId="0" borderId="40" xfId="0" applyFont="1" applyFill="1" applyBorder="1" applyAlignment="1" applyProtection="1">
      <alignment/>
      <protection/>
    </xf>
    <xf numFmtId="0" fontId="25" fillId="0" borderId="40" xfId="0" applyFont="1" applyFill="1" applyBorder="1" applyAlignment="1" applyProtection="1">
      <alignment/>
      <protection/>
    </xf>
    <xf numFmtId="0" fontId="21" fillId="0" borderId="41" xfId="0" applyFont="1" applyBorder="1" applyAlignment="1">
      <alignment/>
    </xf>
    <xf numFmtId="0" fontId="21" fillId="0" borderId="16" xfId="0" applyFont="1" applyBorder="1" applyAlignment="1">
      <alignment/>
    </xf>
    <xf numFmtId="168" fontId="16" fillId="0" borderId="26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24" xfId="0" applyFont="1" applyFill="1" applyBorder="1" applyAlignment="1" applyProtection="1">
      <alignment/>
      <protection/>
    </xf>
    <xf numFmtId="170" fontId="16" fillId="0" borderId="41" xfId="0" applyNumberFormat="1" applyFont="1" applyFill="1" applyBorder="1" applyAlignment="1" applyProtection="1">
      <alignment/>
      <protection/>
    </xf>
    <xf numFmtId="0" fontId="22" fillId="0" borderId="39" xfId="0" applyFont="1" applyFill="1" applyBorder="1" applyAlignment="1" applyProtection="1">
      <alignment/>
      <protection/>
    </xf>
    <xf numFmtId="170" fontId="16" fillId="0" borderId="0" xfId="0" applyNumberFormat="1" applyFont="1" applyFill="1" applyBorder="1" applyAlignment="1" applyProtection="1">
      <alignment/>
      <protection/>
    </xf>
    <xf numFmtId="169" fontId="22" fillId="0" borderId="31" xfId="0" applyNumberFormat="1" applyFont="1" applyFill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/>
      <protection/>
    </xf>
    <xf numFmtId="170" fontId="5" fillId="0" borderId="41" xfId="0" applyNumberFormat="1" applyFont="1" applyBorder="1" applyAlignment="1" applyProtection="1">
      <alignment/>
      <protection/>
    </xf>
    <xf numFmtId="169" fontId="16" fillId="0" borderId="26" xfId="0" applyNumberFormat="1" applyFont="1" applyFill="1" applyBorder="1" applyAlignment="1" applyProtection="1">
      <alignment/>
      <protection/>
    </xf>
    <xf numFmtId="0" fontId="18" fillId="0" borderId="40" xfId="0" applyFont="1" applyFill="1" applyBorder="1" applyAlignment="1" applyProtection="1">
      <alignment/>
      <protection/>
    </xf>
    <xf numFmtId="169" fontId="18" fillId="0" borderId="26" xfId="0" applyNumberFormat="1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168" fontId="24" fillId="0" borderId="42" xfId="0" applyNumberFormat="1" applyFont="1" applyFill="1" applyBorder="1" applyAlignment="1" applyProtection="1">
      <alignment/>
      <protection/>
    </xf>
    <xf numFmtId="0" fontId="16" fillId="0" borderId="39" xfId="0" applyFont="1" applyFill="1" applyBorder="1" applyAlignment="1">
      <alignment/>
    </xf>
    <xf numFmtId="0" fontId="16" fillId="0" borderId="43" xfId="0" applyFont="1" applyFill="1" applyBorder="1" applyAlignment="1">
      <alignment/>
    </xf>
    <xf numFmtId="0" fontId="16" fillId="0" borderId="42" xfId="0" applyFont="1" applyFill="1" applyBorder="1" applyAlignment="1" applyProtection="1">
      <alignment/>
      <protection/>
    </xf>
    <xf numFmtId="0" fontId="16" fillId="0" borderId="44" xfId="0" applyFont="1" applyFill="1" applyBorder="1" applyAlignment="1">
      <alignment/>
    </xf>
    <xf numFmtId="171" fontId="16" fillId="0" borderId="25" xfId="0" applyNumberFormat="1" applyFont="1" applyFill="1" applyBorder="1" applyAlignment="1" applyProtection="1">
      <alignment/>
      <protection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169" fontId="18" fillId="0" borderId="10" xfId="0" applyNumberFormat="1" applyFont="1" applyFill="1" applyBorder="1" applyAlignment="1" applyProtection="1">
      <alignment/>
      <protection/>
    </xf>
    <xf numFmtId="168" fontId="24" fillId="0" borderId="0" xfId="0" applyNumberFormat="1" applyFont="1" applyFill="1" applyBorder="1" applyAlignment="1" applyProtection="1">
      <alignment/>
      <protection/>
    </xf>
    <xf numFmtId="0" fontId="16" fillId="0" borderId="21" xfId="0" applyFont="1" applyFill="1" applyBorder="1" applyAlignment="1" applyProtection="1">
      <alignment wrapText="1"/>
      <protection/>
    </xf>
    <xf numFmtId="169" fontId="16" fillId="0" borderId="45" xfId="0" applyNumberFormat="1" applyFont="1" applyFill="1" applyBorder="1" applyAlignment="1" applyProtection="1">
      <alignment/>
      <protection/>
    </xf>
    <xf numFmtId="169" fontId="16" fillId="0" borderId="0" xfId="0" applyNumberFormat="1" applyFont="1" applyFill="1" applyBorder="1" applyAlignment="1" applyProtection="1">
      <alignment/>
      <protection/>
    </xf>
    <xf numFmtId="0" fontId="16" fillId="0" borderId="46" xfId="0" applyFont="1" applyFill="1" applyBorder="1" applyAlignment="1" applyProtection="1">
      <alignment/>
      <protection/>
    </xf>
    <xf numFmtId="169" fontId="16" fillId="0" borderId="20" xfId="0" applyNumberFormat="1" applyFont="1" applyFill="1" applyBorder="1" applyAlignment="1" applyProtection="1">
      <alignment/>
      <protection/>
    </xf>
    <xf numFmtId="0" fontId="14" fillId="0" borderId="29" xfId="0" applyFont="1" applyFill="1" applyBorder="1" applyAlignment="1" applyProtection="1">
      <alignment/>
      <protection/>
    </xf>
    <xf numFmtId="169" fontId="14" fillId="0" borderId="15" xfId="0" applyNumberFormat="1" applyFont="1" applyFill="1" applyBorder="1" applyAlignment="1" applyProtection="1">
      <alignment/>
      <protection/>
    </xf>
    <xf numFmtId="169" fontId="18" fillId="0" borderId="47" xfId="0" applyNumberFormat="1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top"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>
      <alignment/>
    </xf>
    <xf numFmtId="3" fontId="21" fillId="0" borderId="13" xfId="0" applyNumberFormat="1" applyFont="1" applyFill="1" applyBorder="1" applyAlignment="1" applyProtection="1">
      <alignment/>
      <protection/>
    </xf>
    <xf numFmtId="3" fontId="21" fillId="0" borderId="14" xfId="0" applyNumberFormat="1" applyFont="1" applyFill="1" applyBorder="1" applyAlignment="1" applyProtection="1">
      <alignment/>
      <protection/>
    </xf>
    <xf numFmtId="0" fontId="18" fillId="0" borderId="45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9" fontId="34" fillId="0" borderId="0" xfId="0" applyNumberFormat="1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5" fillId="0" borderId="45" xfId="0" applyFont="1" applyFill="1" applyBorder="1" applyAlignment="1" applyProtection="1">
      <alignment/>
      <protection/>
    </xf>
    <xf numFmtId="0" fontId="35" fillId="0" borderId="15" xfId="0" applyFont="1" applyFill="1" applyBorder="1" applyAlignment="1" applyProtection="1">
      <alignment/>
      <protection/>
    </xf>
    <xf numFmtId="0" fontId="15" fillId="0" borderId="20" xfId="0" applyFont="1" applyFill="1" applyBorder="1" applyAlignment="1" applyProtection="1">
      <alignment/>
      <protection/>
    </xf>
    <xf numFmtId="0" fontId="36" fillId="0" borderId="15" xfId="0" applyFont="1" applyFill="1" applyBorder="1" applyAlignment="1" applyProtection="1">
      <alignment/>
      <protection/>
    </xf>
    <xf numFmtId="0" fontId="35" fillId="0" borderId="20" xfId="0" applyFont="1" applyFill="1" applyBorder="1" applyAlignment="1" applyProtection="1">
      <alignment/>
      <protection/>
    </xf>
    <xf numFmtId="0" fontId="37" fillId="0" borderId="47" xfId="0" applyFont="1" applyFill="1" applyBorder="1" applyAlignment="1" applyProtection="1">
      <alignment/>
      <protection/>
    </xf>
    <xf numFmtId="0" fontId="15" fillId="0" borderId="15" xfId="0" applyFont="1" applyFill="1" applyBorder="1" applyAlignment="1" applyProtection="1">
      <alignment/>
      <protection/>
    </xf>
    <xf numFmtId="0" fontId="35" fillId="0" borderId="45" xfId="0" applyFont="1" applyFill="1" applyBorder="1" applyAlignment="1" applyProtection="1">
      <alignment/>
      <protection/>
    </xf>
    <xf numFmtId="0" fontId="35" fillId="0" borderId="47" xfId="0" applyFont="1" applyFill="1" applyBorder="1" applyAlignment="1" applyProtection="1">
      <alignment/>
      <protection/>
    </xf>
    <xf numFmtId="0" fontId="37" fillId="0" borderId="48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47" xfId="0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3" fontId="15" fillId="0" borderId="49" xfId="0" applyNumberFormat="1" applyFont="1" applyFill="1" applyBorder="1" applyAlignment="1" applyProtection="1">
      <alignment/>
      <protection/>
    </xf>
    <xf numFmtId="3" fontId="15" fillId="0" borderId="18" xfId="0" applyNumberFormat="1" applyFont="1" applyFill="1" applyBorder="1" applyAlignment="1" applyProtection="1">
      <alignment/>
      <protection/>
    </xf>
    <xf numFmtId="3" fontId="15" fillId="0" borderId="19" xfId="0" applyNumberFormat="1" applyFont="1" applyFill="1" applyBorder="1" applyAlignment="1" applyProtection="1">
      <alignment/>
      <protection/>
    </xf>
    <xf numFmtId="3" fontId="17" fillId="0" borderId="30" xfId="0" applyNumberFormat="1" applyFont="1" applyFill="1" applyBorder="1" applyAlignment="1" applyProtection="1">
      <alignment/>
      <protection/>
    </xf>
    <xf numFmtId="3" fontId="17" fillId="0" borderId="31" xfId="0" applyNumberFormat="1" applyFont="1" applyFill="1" applyBorder="1" applyAlignment="1" applyProtection="1">
      <alignment/>
      <protection/>
    </xf>
    <xf numFmtId="3" fontId="17" fillId="0" borderId="50" xfId="0" applyNumberFormat="1" applyFont="1" applyFill="1" applyBorder="1" applyAlignment="1" applyProtection="1">
      <alignment/>
      <protection/>
    </xf>
    <xf numFmtId="3" fontId="35" fillId="0" borderId="30" xfId="0" applyNumberFormat="1" applyFont="1" applyFill="1" applyBorder="1" applyAlignment="1" applyProtection="1">
      <alignment/>
      <protection/>
    </xf>
    <xf numFmtId="3" fontId="35" fillId="0" borderId="13" xfId="0" applyNumberFormat="1" applyFont="1" applyFill="1" applyBorder="1" applyAlignment="1" applyProtection="1">
      <alignment/>
      <protection/>
    </xf>
    <xf numFmtId="3" fontId="35" fillId="0" borderId="14" xfId="0" applyNumberFormat="1" applyFont="1" applyFill="1" applyBorder="1" applyAlignment="1" applyProtection="1">
      <alignment/>
      <protection/>
    </xf>
    <xf numFmtId="3" fontId="35" fillId="0" borderId="44" xfId="0" applyNumberFormat="1" applyFont="1" applyFill="1" applyBorder="1" applyAlignment="1" applyProtection="1">
      <alignment/>
      <protection/>
    </xf>
    <xf numFmtId="3" fontId="35" fillId="0" borderId="25" xfId="0" applyNumberFormat="1" applyFont="1" applyFill="1" applyBorder="1" applyAlignment="1" applyProtection="1">
      <alignment/>
      <protection/>
    </xf>
    <xf numFmtId="3" fontId="35" fillId="0" borderId="51" xfId="0" applyNumberFormat="1" applyFont="1" applyFill="1" applyBorder="1" applyAlignment="1" applyProtection="1">
      <alignment/>
      <protection/>
    </xf>
    <xf numFmtId="3" fontId="35" fillId="0" borderId="31" xfId="0" applyNumberFormat="1" applyFont="1" applyFill="1" applyBorder="1" applyAlignment="1" applyProtection="1">
      <alignment/>
      <protection/>
    </xf>
    <xf numFmtId="3" fontId="35" fillId="0" borderId="22" xfId="0" applyNumberFormat="1" applyFont="1" applyFill="1" applyBorder="1" applyAlignment="1" applyProtection="1">
      <alignment/>
      <protection/>
    </xf>
    <xf numFmtId="3" fontId="15" fillId="0" borderId="50" xfId="0" applyNumberFormat="1" applyFont="1" applyFill="1" applyBorder="1" applyAlignment="1" applyProtection="1">
      <alignment/>
      <protection/>
    </xf>
    <xf numFmtId="3" fontId="36" fillId="0" borderId="30" xfId="0" applyNumberFormat="1" applyFont="1" applyFill="1" applyBorder="1" applyAlignment="1" applyProtection="1">
      <alignment/>
      <protection/>
    </xf>
    <xf numFmtId="3" fontId="36" fillId="0" borderId="13" xfId="0" applyNumberFormat="1" applyFont="1" applyFill="1" applyBorder="1" applyAlignment="1" applyProtection="1">
      <alignment/>
      <protection/>
    </xf>
    <xf numFmtId="3" fontId="36" fillId="0" borderId="14" xfId="0" applyNumberFormat="1" applyFont="1" applyFill="1" applyBorder="1" applyAlignment="1" applyProtection="1">
      <alignment/>
      <protection/>
    </xf>
    <xf numFmtId="3" fontId="35" fillId="0" borderId="50" xfId="0" applyNumberFormat="1" applyFont="1" applyFill="1" applyBorder="1" applyAlignment="1" applyProtection="1">
      <alignment/>
      <protection/>
    </xf>
    <xf numFmtId="3" fontId="35" fillId="0" borderId="16" xfId="0" applyNumberFormat="1" applyFont="1" applyFill="1" applyBorder="1" applyAlignment="1" applyProtection="1">
      <alignment/>
      <protection/>
    </xf>
    <xf numFmtId="3" fontId="35" fillId="0" borderId="17" xfId="0" applyNumberFormat="1" applyFont="1" applyFill="1" applyBorder="1" applyAlignment="1" applyProtection="1">
      <alignment/>
      <protection/>
    </xf>
    <xf numFmtId="3" fontId="37" fillId="0" borderId="34" xfId="0" applyNumberFormat="1" applyFont="1" applyFill="1" applyBorder="1" applyAlignment="1" applyProtection="1">
      <alignment/>
      <protection/>
    </xf>
    <xf numFmtId="3" fontId="37" fillId="0" borderId="52" xfId="0" applyNumberFormat="1" applyFont="1" applyFill="1" applyBorder="1" applyAlignment="1" applyProtection="1">
      <alignment/>
      <protection/>
    </xf>
    <xf numFmtId="3" fontId="37" fillId="0" borderId="53" xfId="0" applyNumberFormat="1" applyFont="1" applyFill="1" applyBorder="1" applyAlignment="1" applyProtection="1">
      <alignment/>
      <protection/>
    </xf>
    <xf numFmtId="3" fontId="11" fillId="0" borderId="54" xfId="0" applyNumberFormat="1" applyFont="1" applyFill="1" applyBorder="1" applyAlignment="1" applyProtection="1">
      <alignment/>
      <protection/>
    </xf>
    <xf numFmtId="3" fontId="11" fillId="0" borderId="55" xfId="0" applyNumberFormat="1" applyFont="1" applyFill="1" applyBorder="1" applyAlignment="1" applyProtection="1">
      <alignment/>
      <protection/>
    </xf>
    <xf numFmtId="3" fontId="15" fillId="0" borderId="30" xfId="0" applyNumberFormat="1" applyFont="1" applyFill="1" applyBorder="1" applyAlignment="1" applyProtection="1">
      <alignment/>
      <protection/>
    </xf>
    <xf numFmtId="3" fontId="11" fillId="0" borderId="56" xfId="0" applyNumberFormat="1" applyFont="1" applyFill="1" applyBorder="1" applyAlignment="1" applyProtection="1">
      <alignment/>
      <protection/>
    </xf>
    <xf numFmtId="3" fontId="35" fillId="0" borderId="18" xfId="0" applyNumberFormat="1" applyFont="1" applyFill="1" applyBorder="1" applyAlignment="1" applyProtection="1">
      <alignment/>
      <protection/>
    </xf>
    <xf numFmtId="3" fontId="35" fillId="0" borderId="57" xfId="0" applyNumberFormat="1" applyFont="1" applyFill="1" applyBorder="1" applyAlignment="1" applyProtection="1">
      <alignment/>
      <protection/>
    </xf>
    <xf numFmtId="3" fontId="35" fillId="0" borderId="58" xfId="0" applyNumberFormat="1" applyFont="1" applyFill="1" applyBorder="1" applyAlignment="1" applyProtection="1">
      <alignment/>
      <protection/>
    </xf>
    <xf numFmtId="3" fontId="35" fillId="0" borderId="49" xfId="0" applyNumberFormat="1" applyFont="1" applyFill="1" applyBorder="1" applyAlignment="1" applyProtection="1">
      <alignment/>
      <protection/>
    </xf>
    <xf numFmtId="3" fontId="35" fillId="0" borderId="59" xfId="0" applyNumberFormat="1" applyFont="1" applyFill="1" applyBorder="1" applyAlignment="1" applyProtection="1">
      <alignment/>
      <protection/>
    </xf>
    <xf numFmtId="3" fontId="35" fillId="0" borderId="52" xfId="0" applyNumberFormat="1" applyFont="1" applyFill="1" applyBorder="1" applyAlignment="1" applyProtection="1">
      <alignment/>
      <protection/>
    </xf>
    <xf numFmtId="3" fontId="35" fillId="0" borderId="56" xfId="0" applyNumberFormat="1" applyFont="1" applyFill="1" applyBorder="1" applyAlignment="1" applyProtection="1">
      <alignment/>
      <protection/>
    </xf>
    <xf numFmtId="3" fontId="35" fillId="0" borderId="34" xfId="0" applyNumberFormat="1" applyFont="1" applyFill="1" applyBorder="1" applyAlignment="1" applyProtection="1">
      <alignment/>
      <protection/>
    </xf>
    <xf numFmtId="3" fontId="35" fillId="0" borderId="53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7" fillId="0" borderId="60" xfId="0" applyNumberFormat="1" applyFont="1" applyFill="1" applyBorder="1" applyAlignment="1" applyProtection="1">
      <alignment/>
      <protection/>
    </xf>
    <xf numFmtId="3" fontId="37" fillId="0" borderId="61" xfId="0" applyNumberFormat="1" applyFont="1" applyFill="1" applyBorder="1" applyAlignment="1" applyProtection="1">
      <alignment/>
      <protection/>
    </xf>
    <xf numFmtId="3" fontId="37" fillId="0" borderId="62" xfId="0" applyNumberFormat="1" applyFont="1" applyFill="1" applyBorder="1" applyAlignment="1" applyProtection="1">
      <alignment/>
      <protection/>
    </xf>
    <xf numFmtId="3" fontId="37" fillId="0" borderId="63" xfId="0" applyNumberFormat="1" applyFont="1" applyFill="1" applyBorder="1" applyAlignment="1" applyProtection="1">
      <alignment/>
      <protection/>
    </xf>
    <xf numFmtId="3" fontId="21" fillId="0" borderId="13" xfId="0" applyNumberFormat="1" applyFont="1" applyFill="1" applyBorder="1" applyAlignment="1" applyProtection="1">
      <alignment/>
      <protection/>
    </xf>
    <xf numFmtId="3" fontId="21" fillId="0" borderId="42" xfId="0" applyNumberFormat="1" applyFont="1" applyFill="1" applyBorder="1" applyAlignment="1" applyProtection="1">
      <alignment/>
      <protection/>
    </xf>
    <xf numFmtId="3" fontId="21" fillId="0" borderId="64" xfId="0" applyNumberFormat="1" applyFont="1" applyFill="1" applyBorder="1" applyAlignment="1" applyProtection="1">
      <alignment/>
      <protection/>
    </xf>
    <xf numFmtId="3" fontId="21" fillId="0" borderId="25" xfId="0" applyNumberFormat="1" applyFont="1" applyFill="1" applyBorder="1" applyAlignment="1" applyProtection="1">
      <alignment/>
      <protection/>
    </xf>
    <xf numFmtId="3" fontId="21" fillId="0" borderId="51" xfId="0" applyNumberFormat="1" applyFont="1" applyFill="1" applyBorder="1" applyAlignment="1" applyProtection="1">
      <alignment/>
      <protection/>
    </xf>
    <xf numFmtId="3" fontId="21" fillId="0" borderId="52" xfId="0" applyNumberFormat="1" applyFont="1" applyFill="1" applyBorder="1" applyAlignment="1" applyProtection="1">
      <alignment/>
      <protection/>
    </xf>
    <xf numFmtId="3" fontId="21" fillId="0" borderId="65" xfId="0" applyNumberFormat="1" applyFont="1" applyFill="1" applyBorder="1" applyAlignment="1" applyProtection="1">
      <alignment/>
      <protection/>
    </xf>
    <xf numFmtId="3" fontId="21" fillId="0" borderId="34" xfId="0" applyNumberFormat="1" applyFont="1" applyFill="1" applyBorder="1" applyAlignment="1" applyProtection="1">
      <alignment/>
      <protection/>
    </xf>
    <xf numFmtId="3" fontId="21" fillId="0" borderId="35" xfId="0" applyNumberFormat="1" applyFont="1" applyFill="1" applyBorder="1" applyAlignment="1" applyProtection="1">
      <alignment/>
      <protection/>
    </xf>
    <xf numFmtId="3" fontId="21" fillId="0" borderId="66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17" fillId="0" borderId="26" xfId="0" applyNumberFormat="1" applyFont="1" applyFill="1" applyBorder="1" applyAlignment="1" applyProtection="1">
      <alignment/>
      <protection/>
    </xf>
    <xf numFmtId="3" fontId="17" fillId="0" borderId="31" xfId="0" applyNumberFormat="1" applyFont="1" applyFill="1" applyBorder="1" applyAlignment="1" applyProtection="1">
      <alignment/>
      <protection/>
    </xf>
    <xf numFmtId="3" fontId="36" fillId="0" borderId="24" xfId="0" applyNumberFormat="1" applyFont="1" applyBorder="1" applyAlignment="1">
      <alignment/>
    </xf>
    <xf numFmtId="3" fontId="38" fillId="0" borderId="24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17" fillId="0" borderId="24" xfId="0" applyNumberFormat="1" applyFont="1" applyFill="1" applyBorder="1" applyAlignment="1" applyProtection="1">
      <alignment/>
      <protection/>
    </xf>
    <xf numFmtId="3" fontId="17" fillId="0" borderId="26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11" fillId="0" borderId="67" xfId="0" applyFont="1" applyFill="1" applyBorder="1" applyAlignment="1" applyProtection="1">
      <alignment/>
      <protection/>
    </xf>
    <xf numFmtId="0" fontId="11" fillId="0" borderId="55" xfId="0" applyFont="1" applyFill="1" applyBorder="1" applyAlignment="1" applyProtection="1">
      <alignment/>
      <protection/>
    </xf>
    <xf numFmtId="0" fontId="11" fillId="0" borderId="68" xfId="0" applyFont="1" applyFill="1" applyBorder="1" applyAlignment="1" applyProtection="1">
      <alignment/>
      <protection/>
    </xf>
    <xf numFmtId="0" fontId="12" fillId="0" borderId="69" xfId="0" applyFont="1" applyFill="1" applyBorder="1" applyAlignment="1" applyProtection="1">
      <alignment/>
      <protection/>
    </xf>
    <xf numFmtId="0" fontId="12" fillId="0" borderId="68" xfId="0" applyFont="1" applyFill="1" applyBorder="1" applyAlignment="1" applyProtection="1">
      <alignment/>
      <protection/>
    </xf>
    <xf numFmtId="0" fontId="13" fillId="0" borderId="67" xfId="0" applyFont="1" applyFill="1" applyBorder="1" applyAlignment="1" applyProtection="1">
      <alignment/>
      <protection/>
    </xf>
    <xf numFmtId="3" fontId="13" fillId="0" borderId="28" xfId="0" applyNumberFormat="1" applyFont="1" applyFill="1" applyBorder="1" applyAlignment="1" applyProtection="1">
      <alignment/>
      <protection/>
    </xf>
    <xf numFmtId="3" fontId="13" fillId="0" borderId="68" xfId="0" applyNumberFormat="1" applyFont="1" applyFill="1" applyBorder="1" applyAlignment="1" applyProtection="1">
      <alignment/>
      <protection/>
    </xf>
    <xf numFmtId="0" fontId="12" fillId="0" borderId="55" xfId="0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169" fontId="13" fillId="0" borderId="12" xfId="0" applyNumberFormat="1" applyFont="1" applyFill="1" applyBorder="1" applyAlignment="1" applyProtection="1">
      <alignment/>
      <protection/>
    </xf>
    <xf numFmtId="0" fontId="38" fillId="0" borderId="21" xfId="0" applyFont="1" applyFill="1" applyBorder="1" applyAlignment="1" applyProtection="1">
      <alignment/>
      <protection/>
    </xf>
    <xf numFmtId="169" fontId="38" fillId="0" borderId="19" xfId="0" applyNumberFormat="1" applyFont="1" applyFill="1" applyBorder="1" applyAlignment="1" applyProtection="1">
      <alignment/>
      <protection/>
    </xf>
    <xf numFmtId="0" fontId="17" fillId="0" borderId="46" xfId="0" applyFont="1" applyFill="1" applyBorder="1" applyAlignment="1" applyProtection="1">
      <alignment/>
      <protection/>
    </xf>
    <xf numFmtId="169" fontId="17" fillId="0" borderId="17" xfId="0" applyNumberFormat="1" applyFont="1" applyFill="1" applyBorder="1" applyAlignment="1" applyProtection="1">
      <alignment/>
      <protection/>
    </xf>
    <xf numFmtId="0" fontId="17" fillId="0" borderId="29" xfId="0" applyFont="1" applyFill="1" applyBorder="1" applyAlignment="1" applyProtection="1">
      <alignment/>
      <protection/>
    </xf>
    <xf numFmtId="169" fontId="17" fillId="0" borderId="14" xfId="0" applyNumberFormat="1" applyFont="1" applyFill="1" applyBorder="1" applyAlignment="1" applyProtection="1">
      <alignment/>
      <protection/>
    </xf>
    <xf numFmtId="0" fontId="21" fillId="0" borderId="17" xfId="0" applyFont="1" applyBorder="1" applyAlignment="1">
      <alignment/>
    </xf>
    <xf numFmtId="0" fontId="38" fillId="0" borderId="70" xfId="0" applyFont="1" applyFill="1" applyBorder="1" applyAlignment="1" applyProtection="1">
      <alignment/>
      <protection/>
    </xf>
    <xf numFmtId="0" fontId="36" fillId="0" borderId="71" xfId="0" applyFont="1" applyBorder="1" applyAlignment="1">
      <alignment/>
    </xf>
    <xf numFmtId="3" fontId="38" fillId="0" borderId="49" xfId="0" applyNumberFormat="1" applyFont="1" applyFill="1" applyBorder="1" applyAlignment="1" applyProtection="1">
      <alignment/>
      <protection/>
    </xf>
    <xf numFmtId="3" fontId="38" fillId="0" borderId="59" xfId="0" applyNumberFormat="1" applyFont="1" applyFill="1" applyBorder="1" applyAlignment="1" applyProtection="1">
      <alignment/>
      <protection/>
    </xf>
    <xf numFmtId="3" fontId="17" fillId="0" borderId="50" xfId="0" applyNumberFormat="1" applyFont="1" applyFill="1" applyBorder="1" applyAlignment="1" applyProtection="1">
      <alignment/>
      <protection/>
    </xf>
    <xf numFmtId="3" fontId="17" fillId="0" borderId="72" xfId="0" applyNumberFormat="1" applyFont="1" applyFill="1" applyBorder="1" applyAlignment="1" applyProtection="1">
      <alignment/>
      <protection/>
    </xf>
    <xf numFmtId="3" fontId="17" fillId="0" borderId="30" xfId="0" applyNumberFormat="1" applyFont="1" applyFill="1" applyBorder="1" applyAlignment="1" applyProtection="1">
      <alignment/>
      <protection/>
    </xf>
    <xf numFmtId="3" fontId="17" fillId="0" borderId="22" xfId="0" applyNumberFormat="1" applyFont="1" applyFill="1" applyBorder="1" applyAlignment="1" applyProtection="1">
      <alignment/>
      <protection/>
    </xf>
    <xf numFmtId="3" fontId="36" fillId="0" borderId="73" xfId="0" applyNumberFormat="1" applyFont="1" applyFill="1" applyBorder="1" applyAlignment="1">
      <alignment/>
    </xf>
    <xf numFmtId="3" fontId="36" fillId="0" borderId="74" xfId="0" applyNumberFormat="1" applyFont="1" applyBorder="1" applyAlignment="1">
      <alignment/>
    </xf>
    <xf numFmtId="3" fontId="38" fillId="0" borderId="57" xfId="0" applyNumberFormat="1" applyFont="1" applyFill="1" applyBorder="1" applyAlignment="1" applyProtection="1">
      <alignment/>
      <protection/>
    </xf>
    <xf numFmtId="3" fontId="36" fillId="0" borderId="73" xfId="0" applyNumberFormat="1" applyFont="1" applyBorder="1" applyAlignment="1">
      <alignment/>
    </xf>
    <xf numFmtId="3" fontId="38" fillId="0" borderId="73" xfId="0" applyNumberFormat="1" applyFont="1" applyFill="1" applyBorder="1" applyAlignment="1" applyProtection="1">
      <alignment/>
      <protection/>
    </xf>
    <xf numFmtId="3" fontId="38" fillId="0" borderId="74" xfId="0" applyNumberFormat="1" applyFont="1" applyFill="1" applyBorder="1" applyAlignment="1" applyProtection="1">
      <alignment/>
      <protection/>
    </xf>
    <xf numFmtId="0" fontId="17" fillId="0" borderId="75" xfId="0" applyFont="1" applyFill="1" applyBorder="1" applyAlignment="1" applyProtection="1">
      <alignment/>
      <protection/>
    </xf>
    <xf numFmtId="0" fontId="21" fillId="0" borderId="63" xfId="0" applyFont="1" applyBorder="1" applyAlignment="1">
      <alignment/>
    </xf>
    <xf numFmtId="0" fontId="17" fillId="0" borderId="29" xfId="0" applyFont="1" applyFill="1" applyBorder="1" applyAlignment="1" applyProtection="1">
      <alignment/>
      <protection/>
    </xf>
    <xf numFmtId="0" fontId="17" fillId="0" borderId="46" xfId="0" applyFont="1" applyFill="1" applyBorder="1" applyAlignment="1" applyProtection="1">
      <alignment/>
      <protection/>
    </xf>
    <xf numFmtId="0" fontId="21" fillId="0" borderId="17" xfId="0" applyFont="1" applyBorder="1" applyAlignment="1">
      <alignment/>
    </xf>
    <xf numFmtId="0" fontId="38" fillId="0" borderId="23" xfId="0" applyFont="1" applyFill="1" applyBorder="1" applyAlignment="1" applyProtection="1">
      <alignment/>
      <protection/>
    </xf>
    <xf numFmtId="0" fontId="36" fillId="0" borderId="53" xfId="0" applyFont="1" applyBorder="1" applyAlignment="1">
      <alignment/>
    </xf>
    <xf numFmtId="3" fontId="17" fillId="0" borderId="62" xfId="0" applyNumberFormat="1" applyFont="1" applyFill="1" applyBorder="1" applyAlignment="1" applyProtection="1">
      <alignment/>
      <protection/>
    </xf>
    <xf numFmtId="3" fontId="17" fillId="0" borderId="76" xfId="0" applyNumberFormat="1" applyFont="1" applyFill="1" applyBorder="1" applyAlignment="1" applyProtection="1">
      <alignment/>
      <protection/>
    </xf>
    <xf numFmtId="3" fontId="17" fillId="0" borderId="72" xfId="0" applyNumberFormat="1" applyFont="1" applyFill="1" applyBorder="1" applyAlignment="1" applyProtection="1">
      <alignment/>
      <protection/>
    </xf>
    <xf numFmtId="3" fontId="38" fillId="0" borderId="34" xfId="0" applyNumberFormat="1" applyFont="1" applyFill="1" applyBorder="1" applyAlignment="1" applyProtection="1">
      <alignment/>
      <protection/>
    </xf>
    <xf numFmtId="3" fontId="38" fillId="0" borderId="66" xfId="0" applyNumberFormat="1" applyFont="1" applyFill="1" applyBorder="1" applyAlignment="1" applyProtection="1">
      <alignment/>
      <protection/>
    </xf>
    <xf numFmtId="3" fontId="17" fillId="0" borderId="77" xfId="0" applyNumberFormat="1" applyFont="1" applyFill="1" applyBorder="1" applyAlignment="1" applyProtection="1">
      <alignment/>
      <protection/>
    </xf>
    <xf numFmtId="3" fontId="38" fillId="0" borderId="35" xfId="0" applyNumberFormat="1" applyFont="1" applyFill="1" applyBorder="1" applyAlignment="1" applyProtection="1">
      <alignment/>
      <protection/>
    </xf>
    <xf numFmtId="0" fontId="17" fillId="0" borderId="70" xfId="0" applyFont="1" applyFill="1" applyBorder="1" applyAlignment="1" applyProtection="1">
      <alignment/>
      <protection/>
    </xf>
    <xf numFmtId="0" fontId="21" fillId="0" borderId="71" xfId="0" applyFont="1" applyBorder="1" applyAlignment="1">
      <alignment/>
    </xf>
    <xf numFmtId="3" fontId="17" fillId="0" borderId="73" xfId="0" applyNumberFormat="1" applyFont="1" applyFill="1" applyBorder="1" applyAlignment="1" applyProtection="1">
      <alignment/>
      <protection/>
    </xf>
    <xf numFmtId="3" fontId="17" fillId="0" borderId="74" xfId="0" applyNumberFormat="1" applyFont="1" applyFill="1" applyBorder="1" applyAlignment="1" applyProtection="1">
      <alignment/>
      <protection/>
    </xf>
    <xf numFmtId="0" fontId="38" fillId="0" borderId="67" xfId="0" applyFont="1" applyFill="1" applyBorder="1" applyAlignment="1" applyProtection="1">
      <alignment/>
      <protection/>
    </xf>
    <xf numFmtId="0" fontId="36" fillId="0" borderId="12" xfId="0" applyFont="1" applyBorder="1" applyAlignment="1">
      <alignment/>
    </xf>
    <xf numFmtId="3" fontId="38" fillId="0" borderId="27" xfId="0" applyNumberFormat="1" applyFont="1" applyFill="1" applyBorder="1" applyAlignment="1" applyProtection="1">
      <alignment/>
      <protection/>
    </xf>
    <xf numFmtId="3" fontId="38" fillId="0" borderId="68" xfId="0" applyNumberFormat="1" applyFont="1" applyFill="1" applyBorder="1" applyAlignment="1" applyProtection="1">
      <alignment/>
      <protection/>
    </xf>
    <xf numFmtId="3" fontId="38" fillId="0" borderId="28" xfId="0" applyNumberFormat="1" applyFont="1" applyFill="1" applyBorder="1" applyAlignment="1" applyProtection="1">
      <alignment/>
      <protection/>
    </xf>
    <xf numFmtId="3" fontId="13" fillId="0" borderId="27" xfId="0" applyNumberFormat="1" applyFont="1" applyFill="1" applyBorder="1" applyAlignment="1" applyProtection="1">
      <alignment/>
      <protection/>
    </xf>
    <xf numFmtId="0" fontId="14" fillId="0" borderId="78" xfId="0" applyFont="1" applyFill="1" applyBorder="1" applyAlignment="1" applyProtection="1">
      <alignment/>
      <protection/>
    </xf>
    <xf numFmtId="3" fontId="15" fillId="0" borderId="38" xfId="0" applyNumberFormat="1" applyFont="1" applyFill="1" applyBorder="1" applyAlignment="1" applyProtection="1">
      <alignment/>
      <protection/>
    </xf>
    <xf numFmtId="3" fontId="15" fillId="0" borderId="71" xfId="0" applyNumberFormat="1" applyFont="1" applyFill="1" applyBorder="1" applyAlignment="1" applyProtection="1">
      <alignment/>
      <protection/>
    </xf>
    <xf numFmtId="0" fontId="22" fillId="0" borderId="24" xfId="0" applyFont="1" applyFill="1" applyBorder="1" applyAlignment="1" applyProtection="1">
      <alignment/>
      <protection/>
    </xf>
    <xf numFmtId="3" fontId="22" fillId="0" borderId="24" xfId="0" applyNumberFormat="1" applyFont="1" applyFill="1" applyBorder="1" applyAlignment="1">
      <alignment/>
    </xf>
    <xf numFmtId="168" fontId="16" fillId="0" borderId="79" xfId="0" applyNumberFormat="1" applyFont="1" applyFill="1" applyBorder="1" applyAlignment="1" applyProtection="1">
      <alignment/>
      <protection/>
    </xf>
    <xf numFmtId="168" fontId="25" fillId="0" borderId="79" xfId="0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6" fillId="0" borderId="31" xfId="0" applyFont="1" applyFill="1" applyBorder="1" applyAlignment="1" applyProtection="1">
      <alignment/>
      <protection/>
    </xf>
    <xf numFmtId="0" fontId="25" fillId="0" borderId="42" xfId="0" applyFont="1" applyFill="1" applyBorder="1" applyAlignment="1" applyProtection="1">
      <alignment/>
      <protection/>
    </xf>
    <xf numFmtId="0" fontId="21" fillId="0" borderId="43" xfId="0" applyFont="1" applyBorder="1" applyAlignment="1">
      <alignment/>
    </xf>
    <xf numFmtId="0" fontId="28" fillId="0" borderId="43" xfId="0" applyFont="1" applyBorder="1" applyAlignment="1">
      <alignment/>
    </xf>
    <xf numFmtId="0" fontId="21" fillId="0" borderId="44" xfId="0" applyFont="1" applyBorder="1" applyAlignment="1">
      <alignment/>
    </xf>
    <xf numFmtId="168" fontId="16" fillId="0" borderId="25" xfId="0" applyNumberFormat="1" applyFont="1" applyFill="1" applyBorder="1" applyAlignment="1" applyProtection="1">
      <alignment/>
      <protection/>
    </xf>
    <xf numFmtId="168" fontId="14" fillId="0" borderId="25" xfId="0" applyNumberFormat="1" applyFont="1" applyFill="1" applyBorder="1" applyAlignment="1" applyProtection="1">
      <alignment/>
      <protection/>
    </xf>
    <xf numFmtId="168" fontId="14" fillId="0" borderId="31" xfId="0" applyNumberFormat="1" applyFont="1" applyFill="1" applyBorder="1" applyAlignment="1" applyProtection="1">
      <alignment/>
      <protection/>
    </xf>
    <xf numFmtId="168" fontId="14" fillId="0" borderId="26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 vertical="top"/>
      <protection/>
    </xf>
    <xf numFmtId="0" fontId="39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22" fillId="0" borderId="23" xfId="0" applyFont="1" applyFill="1" applyBorder="1" applyAlignment="1" applyProtection="1">
      <alignment/>
      <protection/>
    </xf>
    <xf numFmtId="169" fontId="22" fillId="0" borderId="47" xfId="0" applyNumberFormat="1" applyFont="1" applyFill="1" applyBorder="1" applyAlignment="1" applyProtection="1">
      <alignment/>
      <protection/>
    </xf>
    <xf numFmtId="169" fontId="22" fillId="0" borderId="0" xfId="0" applyNumberFormat="1" applyFont="1" applyFill="1" applyBorder="1" applyAlignment="1" applyProtection="1">
      <alignment/>
      <protection/>
    </xf>
    <xf numFmtId="0" fontId="40" fillId="0" borderId="0" xfId="0" applyFont="1" applyBorder="1" applyAlignment="1">
      <alignment horizontal="center"/>
    </xf>
    <xf numFmtId="3" fontId="22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68" fontId="42" fillId="0" borderId="0" xfId="46" applyNumberFormat="1" applyFont="1" applyBorder="1" applyAlignment="1">
      <alignment/>
    </xf>
    <xf numFmtId="9" fontId="43" fillId="0" borderId="0" xfId="0" applyNumberFormat="1" applyFont="1" applyAlignment="1">
      <alignment horizontal="left"/>
    </xf>
    <xf numFmtId="3" fontId="35" fillId="0" borderId="26" xfId="0" applyNumberFormat="1" applyFont="1" applyFill="1" applyBorder="1" applyAlignment="1" applyProtection="1">
      <alignment/>
      <protection/>
    </xf>
    <xf numFmtId="3" fontId="35" fillId="0" borderId="72" xfId="0" applyNumberFormat="1" applyFont="1" applyFill="1" applyBorder="1" applyAlignment="1" applyProtection="1">
      <alignment/>
      <protection/>
    </xf>
    <xf numFmtId="168" fontId="25" fillId="0" borderId="0" xfId="0" applyNumberFormat="1" applyFont="1" applyFill="1" applyBorder="1" applyAlignment="1" applyProtection="1">
      <alignment/>
      <protection/>
    </xf>
    <xf numFmtId="9" fontId="5" fillId="0" borderId="0" xfId="46" applyFont="1" applyAlignment="1">
      <alignment/>
    </xf>
    <xf numFmtId="0" fontId="5" fillId="0" borderId="0" xfId="0" applyFont="1" applyAlignment="1">
      <alignment/>
    </xf>
    <xf numFmtId="168" fontId="22" fillId="0" borderId="0" xfId="46" applyNumberFormat="1" applyFont="1" applyFill="1" applyBorder="1" applyAlignment="1" applyProtection="1">
      <alignment/>
      <protection/>
    </xf>
    <xf numFmtId="168" fontId="45" fillId="0" borderId="0" xfId="0" applyNumberFormat="1" applyFont="1" applyAlignment="1">
      <alignment horizontal="left"/>
    </xf>
    <xf numFmtId="168" fontId="25" fillId="0" borderId="80" xfId="0" applyNumberFormat="1" applyFont="1" applyFill="1" applyBorder="1" applyAlignment="1" applyProtection="1">
      <alignment/>
      <protection/>
    </xf>
    <xf numFmtId="0" fontId="37" fillId="8" borderId="47" xfId="0" applyFont="1" applyFill="1" applyBorder="1" applyAlignment="1" applyProtection="1">
      <alignment/>
      <protection/>
    </xf>
    <xf numFmtId="3" fontId="37" fillId="8" borderId="34" xfId="0" applyNumberFormat="1" applyFont="1" applyFill="1" applyBorder="1" applyAlignment="1" applyProtection="1">
      <alignment/>
      <protection/>
    </xf>
    <xf numFmtId="3" fontId="37" fillId="8" borderId="52" xfId="0" applyNumberFormat="1" applyFont="1" applyFill="1" applyBorder="1" applyAlignment="1" applyProtection="1">
      <alignment/>
      <protection/>
    </xf>
    <xf numFmtId="3" fontId="37" fillId="8" borderId="53" xfId="0" applyNumberFormat="1" applyFont="1" applyFill="1" applyBorder="1" applyAlignment="1" applyProtection="1">
      <alignment/>
      <protection/>
    </xf>
    <xf numFmtId="3" fontId="37" fillId="8" borderId="81" xfId="0" applyNumberFormat="1" applyFont="1" applyFill="1" applyBorder="1" applyAlignment="1" applyProtection="1">
      <alignment/>
      <protection/>
    </xf>
    <xf numFmtId="3" fontId="37" fillId="8" borderId="82" xfId="0" applyNumberFormat="1" applyFont="1" applyFill="1" applyBorder="1" applyAlignment="1" applyProtection="1">
      <alignment/>
      <protection/>
    </xf>
    <xf numFmtId="3" fontId="37" fillId="8" borderId="83" xfId="0" applyNumberFormat="1" applyFont="1" applyFill="1" applyBorder="1" applyAlignment="1" applyProtection="1">
      <alignment/>
      <protection/>
    </xf>
    <xf numFmtId="0" fontId="38" fillId="8" borderId="23" xfId="0" applyFont="1" applyFill="1" applyBorder="1" applyAlignment="1" applyProtection="1">
      <alignment/>
      <protection/>
    </xf>
    <xf numFmtId="0" fontId="36" fillId="8" borderId="53" xfId="0" applyFont="1" applyFill="1" applyBorder="1" applyAlignment="1">
      <alignment/>
    </xf>
    <xf numFmtId="3" fontId="36" fillId="8" borderId="34" xfId="0" applyNumberFormat="1" applyFont="1" applyFill="1" applyBorder="1" applyAlignment="1">
      <alignment/>
    </xf>
    <xf numFmtId="3" fontId="36" fillId="8" borderId="66" xfId="0" applyNumberFormat="1" applyFont="1" applyFill="1" applyBorder="1" applyAlignment="1">
      <alignment/>
    </xf>
    <xf numFmtId="3" fontId="36" fillId="8" borderId="35" xfId="0" applyNumberFormat="1" applyFont="1" applyFill="1" applyBorder="1" applyAlignment="1">
      <alignment/>
    </xf>
    <xf numFmtId="0" fontId="18" fillId="0" borderId="27" xfId="0" applyFont="1" applyFill="1" applyBorder="1" applyAlignment="1" applyProtection="1">
      <alignment/>
      <protection/>
    </xf>
    <xf numFmtId="0" fontId="18" fillId="0" borderId="49" xfId="0" applyFont="1" applyFill="1" applyBorder="1" applyAlignment="1" applyProtection="1">
      <alignment/>
      <protection/>
    </xf>
    <xf numFmtId="0" fontId="14" fillId="0" borderId="30" xfId="0" applyFont="1" applyFill="1" applyBorder="1" applyAlignment="1" applyProtection="1">
      <alignment/>
      <protection/>
    </xf>
    <xf numFmtId="0" fontId="16" fillId="2" borderId="30" xfId="0" applyFont="1" applyFill="1" applyBorder="1" applyAlignment="1" applyProtection="1">
      <alignment/>
      <protection/>
    </xf>
    <xf numFmtId="0" fontId="16" fillId="0" borderId="50" xfId="0" applyFont="1" applyFill="1" applyBorder="1" applyAlignment="1" applyProtection="1">
      <alignment/>
      <protection/>
    </xf>
    <xf numFmtId="0" fontId="14" fillId="2" borderId="30" xfId="0" applyFont="1" applyFill="1" applyBorder="1" applyAlignment="1" applyProtection="1">
      <alignment/>
      <protection/>
    </xf>
    <xf numFmtId="0" fontId="14" fillId="0" borderId="73" xfId="0" applyFont="1" applyFill="1" applyBorder="1" applyAlignment="1" applyProtection="1">
      <alignment/>
      <protection/>
    </xf>
    <xf numFmtId="0" fontId="14" fillId="2" borderId="73" xfId="0" applyFont="1" applyFill="1" applyBorder="1" applyAlignment="1" applyProtection="1">
      <alignment/>
      <protection/>
    </xf>
    <xf numFmtId="3" fontId="17" fillId="2" borderId="13" xfId="0" applyNumberFormat="1" applyFont="1" applyFill="1" applyBorder="1" applyAlignment="1" applyProtection="1">
      <alignment/>
      <protection/>
    </xf>
    <xf numFmtId="3" fontId="17" fillId="2" borderId="14" xfId="0" applyNumberFormat="1" applyFont="1" applyFill="1" applyBorder="1" applyAlignment="1" applyProtection="1">
      <alignment/>
      <protection/>
    </xf>
    <xf numFmtId="3" fontId="15" fillId="2" borderId="13" xfId="0" applyNumberFormat="1" applyFont="1" applyFill="1" applyBorder="1" applyAlignment="1" applyProtection="1">
      <alignment/>
      <protection/>
    </xf>
    <xf numFmtId="3" fontId="15" fillId="2" borderId="14" xfId="0" applyNumberFormat="1" applyFont="1" applyFill="1" applyBorder="1" applyAlignment="1" applyProtection="1">
      <alignment/>
      <protection/>
    </xf>
    <xf numFmtId="3" fontId="15" fillId="2" borderId="38" xfId="0" applyNumberFormat="1" applyFont="1" applyFill="1" applyBorder="1" applyAlignment="1" applyProtection="1">
      <alignment/>
      <protection/>
    </xf>
    <xf numFmtId="3" fontId="15" fillId="2" borderId="71" xfId="0" applyNumberFormat="1" applyFont="1" applyFill="1" applyBorder="1" applyAlignment="1" applyProtection="1">
      <alignment/>
      <protection/>
    </xf>
    <xf numFmtId="0" fontId="14" fillId="0" borderId="8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3" fontId="21" fillId="0" borderId="16" xfId="0" applyNumberFormat="1" applyFont="1" applyFill="1" applyBorder="1" applyAlignment="1" applyProtection="1">
      <alignment/>
      <protection/>
    </xf>
    <xf numFmtId="3" fontId="21" fillId="0" borderId="17" xfId="0" applyNumberFormat="1" applyFont="1" applyFill="1" applyBorder="1" applyAlignment="1" applyProtection="1">
      <alignment/>
      <protection/>
    </xf>
    <xf numFmtId="3" fontId="15" fillId="0" borderId="64" xfId="0" applyNumberFormat="1" applyFont="1" applyFill="1" applyBorder="1" applyAlignment="1" applyProtection="1">
      <alignment/>
      <protection/>
    </xf>
    <xf numFmtId="3" fontId="15" fillId="0" borderId="44" xfId="0" applyNumberFormat="1" applyFont="1" applyFill="1" applyBorder="1" applyAlignment="1" applyProtection="1">
      <alignment/>
      <protection/>
    </xf>
    <xf numFmtId="3" fontId="15" fillId="0" borderId="85" xfId="0" applyNumberFormat="1" applyFont="1" applyFill="1" applyBorder="1" applyAlignment="1" applyProtection="1">
      <alignment/>
      <protection/>
    </xf>
    <xf numFmtId="3" fontId="21" fillId="0" borderId="30" xfId="0" applyNumberFormat="1" applyFont="1" applyFill="1" applyBorder="1" applyAlignment="1" applyProtection="1">
      <alignment/>
      <protection/>
    </xf>
    <xf numFmtId="3" fontId="21" fillId="0" borderId="50" xfId="0" applyNumberFormat="1" applyFont="1" applyFill="1" applyBorder="1" applyAlignment="1" applyProtection="1">
      <alignment/>
      <protection/>
    </xf>
    <xf numFmtId="3" fontId="15" fillId="0" borderId="62" xfId="0" applyNumberFormat="1" applyFont="1" applyFill="1" applyBorder="1" applyAlignment="1" applyProtection="1">
      <alignment/>
      <protection/>
    </xf>
    <xf numFmtId="3" fontId="15" fillId="0" borderId="60" xfId="0" applyNumberFormat="1" applyFont="1" applyFill="1" applyBorder="1" applyAlignment="1" applyProtection="1">
      <alignment/>
      <protection/>
    </xf>
    <xf numFmtId="3" fontId="15" fillId="0" borderId="63" xfId="0" applyNumberFormat="1" applyFont="1" applyFill="1" applyBorder="1" applyAlignment="1" applyProtection="1">
      <alignment/>
      <protection/>
    </xf>
    <xf numFmtId="0" fontId="15" fillId="0" borderId="48" xfId="0" applyFont="1" applyFill="1" applyBorder="1" applyAlignment="1" applyProtection="1">
      <alignment/>
      <protection/>
    </xf>
    <xf numFmtId="0" fontId="38" fillId="2" borderId="29" xfId="0" applyFont="1" applyFill="1" applyBorder="1" applyAlignment="1" applyProtection="1">
      <alignment/>
      <protection/>
    </xf>
    <xf numFmtId="169" fontId="36" fillId="2" borderId="14" xfId="0" applyNumberFormat="1" applyFont="1" applyFill="1" applyBorder="1" applyAlignment="1">
      <alignment/>
    </xf>
    <xf numFmtId="3" fontId="36" fillId="2" borderId="30" xfId="0" applyNumberFormat="1" applyFont="1" applyFill="1" applyBorder="1" applyAlignment="1" applyProtection="1">
      <alignment/>
      <protection/>
    </xf>
    <xf numFmtId="3" fontId="36" fillId="2" borderId="22" xfId="0" applyNumberFormat="1" applyFont="1" applyFill="1" applyBorder="1" applyAlignment="1">
      <alignment/>
    </xf>
    <xf numFmtId="3" fontId="36" fillId="2" borderId="30" xfId="0" applyNumberFormat="1" applyFont="1" applyFill="1" applyBorder="1" applyAlignment="1">
      <alignment/>
    </xf>
    <xf numFmtId="3" fontId="36" fillId="2" borderId="31" xfId="0" applyNumberFormat="1" applyFont="1" applyFill="1" applyBorder="1" applyAlignment="1">
      <alignment/>
    </xf>
    <xf numFmtId="0" fontId="82" fillId="0" borderId="23" xfId="0" applyFont="1" applyFill="1" applyBorder="1" applyAlignment="1" applyProtection="1">
      <alignment/>
      <protection/>
    </xf>
    <xf numFmtId="169" fontId="82" fillId="0" borderId="47" xfId="0" applyNumberFormat="1" applyFont="1" applyFill="1" applyBorder="1" applyAlignment="1" applyProtection="1">
      <alignment/>
      <protection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0" applyFont="1" applyFill="1" applyAlignment="1" applyProtection="1">
      <alignment horizontal="center"/>
      <protection/>
    </xf>
    <xf numFmtId="168" fontId="25" fillId="0" borderId="86" xfId="0" applyNumberFormat="1" applyFont="1" applyFill="1" applyBorder="1" applyAlignment="1" applyProtection="1">
      <alignment horizontal="center"/>
      <protection/>
    </xf>
    <xf numFmtId="168" fontId="25" fillId="0" borderId="87" xfId="0" applyNumberFormat="1" applyFont="1" applyFill="1" applyBorder="1" applyAlignment="1" applyProtection="1">
      <alignment horizontal="center"/>
      <protection/>
    </xf>
    <xf numFmtId="168" fontId="25" fillId="0" borderId="8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19</xdr:row>
      <xdr:rowOff>0</xdr:rowOff>
    </xdr:from>
    <xdr:to>
      <xdr:col>8</xdr:col>
      <xdr:colOff>285750</xdr:colOff>
      <xdr:row>21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457950" y="3829050"/>
          <a:ext cx="257175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twoCellAnchor>
  <xdr:twoCellAnchor>
    <xdr:from>
      <xdr:col>8</xdr:col>
      <xdr:colOff>285750</xdr:colOff>
      <xdr:row>19</xdr:row>
      <xdr:rowOff>95250</xdr:rowOff>
    </xdr:from>
    <xdr:to>
      <xdr:col>10</xdr:col>
      <xdr:colOff>114300</xdr:colOff>
      <xdr:row>21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24650" y="3924300"/>
          <a:ext cx="1323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případné pomocné výpočty</a:t>
          </a:r>
        </a:p>
      </xdr:txBody>
    </xdr:sp>
    <xdr:clientData fPrintsWithSheet="0"/>
  </xdr:twoCellAnchor>
  <xdr:twoCellAnchor>
    <xdr:from>
      <xdr:col>8</xdr:col>
      <xdr:colOff>57150</xdr:colOff>
      <xdr:row>9</xdr:row>
      <xdr:rowOff>0</xdr:rowOff>
    </xdr:from>
    <xdr:to>
      <xdr:col>10</xdr:col>
      <xdr:colOff>657225</xdr:colOff>
      <xdr:row>13</xdr:row>
      <xdr:rowOff>28575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6496050" y="1819275"/>
          <a:ext cx="2095500" cy="80962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Fólie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Soubor 3 - DCF: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11 - investovaný kapitál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57150</xdr:colOff>
      <xdr:row>22</xdr:row>
      <xdr:rowOff>19050</xdr:rowOff>
    </xdr:from>
    <xdr:to>
      <xdr:col>10</xdr:col>
      <xdr:colOff>657225</xdr:colOff>
      <xdr:row>26</xdr:row>
      <xdr:rowOff>9525</xdr:rowOff>
    </xdr:to>
    <xdr:sp>
      <xdr:nvSpPr>
        <xdr:cNvPr id="4" name="TextovéPole 2"/>
        <xdr:cNvSpPr txBox="1">
          <a:spLocks noChangeArrowheads="1"/>
        </xdr:cNvSpPr>
      </xdr:nvSpPr>
      <xdr:spPr>
        <a:xfrm>
          <a:off x="6496050" y="4419600"/>
          <a:ext cx="2095500" cy="76200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Fólie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Soubor 3 - DCF: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34-36 - ukazatele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 PH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57150</xdr:colOff>
      <xdr:row>27</xdr:row>
      <xdr:rowOff>190500</xdr:rowOff>
    </xdr:from>
    <xdr:to>
      <xdr:col>10</xdr:col>
      <xdr:colOff>657225</xdr:colOff>
      <xdr:row>32</xdr:row>
      <xdr:rowOff>123825</xdr:rowOff>
    </xdr:to>
    <xdr:sp>
      <xdr:nvSpPr>
        <xdr:cNvPr id="5" name="TextovéPole 3"/>
        <xdr:cNvSpPr txBox="1">
          <a:spLocks noChangeArrowheads="1"/>
        </xdr:cNvSpPr>
      </xdr:nvSpPr>
      <xdr:spPr>
        <a:xfrm>
          <a:off x="6496050" y="5553075"/>
          <a:ext cx="2095500" cy="96202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Fólie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Soubor 3 - DCF: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38 - vztah mezi třemi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parametry v rámci PH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0</xdr:rowOff>
    </xdr:from>
    <xdr:to>
      <xdr:col>10</xdr:col>
      <xdr:colOff>590550</xdr:colOff>
      <xdr:row>5</xdr:row>
      <xdr:rowOff>28575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6877050" y="390525"/>
          <a:ext cx="2095500" cy="82867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Fólie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Soubor 3 - DCF: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18 - volné peněžní toky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57150</xdr:colOff>
      <xdr:row>10</xdr:row>
      <xdr:rowOff>190500</xdr:rowOff>
    </xdr:from>
    <xdr:to>
      <xdr:col>10</xdr:col>
      <xdr:colOff>590550</xdr:colOff>
      <xdr:row>15</xdr:row>
      <xdr:rowOff>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6877050" y="2419350"/>
          <a:ext cx="2095500" cy="82867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Fólie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Soubor 3 - DCF: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6 - dvoufázová metoda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18</xdr:row>
      <xdr:rowOff>161925</xdr:rowOff>
    </xdr:from>
    <xdr:to>
      <xdr:col>6</xdr:col>
      <xdr:colOff>285750</xdr:colOff>
      <xdr:row>22</xdr:row>
      <xdr:rowOff>190500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6181725" y="4000500"/>
          <a:ext cx="2076450" cy="82867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Fólie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Soubor 3 - DCF: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6, 7 - ocenění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76200</xdr:colOff>
      <xdr:row>10</xdr:row>
      <xdr:rowOff>9525</xdr:rowOff>
    </xdr:from>
    <xdr:to>
      <xdr:col>6</xdr:col>
      <xdr:colOff>304800</xdr:colOff>
      <xdr:row>18</xdr:row>
      <xdr:rowOff>38100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6191250" y="2124075"/>
          <a:ext cx="2085975" cy="175260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Fólie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Soubor 3 - DCF: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32 - Gordonův vzorec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33 - parametrický vzorec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38 - vztah obou vzorců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2.75"/>
  <cols>
    <col min="1" max="1" width="3.625" style="0" customWidth="1"/>
    <col min="2" max="2" width="8.375" style="0" customWidth="1"/>
    <col min="3" max="3" width="8.25390625" style="0" customWidth="1"/>
    <col min="4" max="7" width="10.25390625" style="0" customWidth="1"/>
    <col min="8" max="8" width="12.00390625" style="0" customWidth="1"/>
    <col min="9" max="12" width="10.25390625" style="0" customWidth="1"/>
  </cols>
  <sheetData>
    <row r="1" spans="1:9" ht="23.25">
      <c r="A1" s="348" t="s">
        <v>132</v>
      </c>
      <c r="B1" s="348"/>
      <c r="C1" s="348"/>
      <c r="D1" s="348"/>
      <c r="E1" s="348"/>
      <c r="F1" s="348"/>
      <c r="G1" s="348"/>
      <c r="H1" s="348"/>
      <c r="I1" s="348"/>
    </row>
    <row r="2" spans="1:10" ht="23.25">
      <c r="A2" s="1" t="s">
        <v>133</v>
      </c>
      <c r="B2" s="2"/>
      <c r="C2" s="2"/>
      <c r="D2" s="3"/>
      <c r="E2" s="3"/>
      <c r="F2" s="3"/>
      <c r="G2" s="3"/>
      <c r="H2" s="3"/>
      <c r="I2" s="3"/>
      <c r="J2" s="4"/>
    </row>
    <row r="3" spans="2:10" ht="15.75">
      <c r="B3" s="4"/>
      <c r="C3" s="4"/>
      <c r="D3" s="4"/>
      <c r="E3" s="4"/>
      <c r="F3" s="4"/>
      <c r="G3" s="4"/>
      <c r="H3" s="4"/>
      <c r="I3" s="4"/>
      <c r="J3" s="4"/>
    </row>
    <row r="4" spans="2:10" ht="15.75">
      <c r="B4" s="5" t="s">
        <v>0</v>
      </c>
      <c r="C4" s="4"/>
      <c r="D4" s="4"/>
      <c r="E4" s="4"/>
      <c r="F4" s="4"/>
      <c r="G4" s="4"/>
      <c r="H4" s="4"/>
      <c r="I4" s="4"/>
      <c r="J4" s="4"/>
    </row>
    <row r="5" spans="2:10" ht="15.75">
      <c r="B5" s="5" t="s">
        <v>1</v>
      </c>
      <c r="C5" s="4"/>
      <c r="D5" s="4"/>
      <c r="E5" s="4"/>
      <c r="F5" s="4"/>
      <c r="G5" s="4"/>
      <c r="H5" s="4"/>
      <c r="I5" s="4"/>
      <c r="J5" s="4"/>
    </row>
    <row r="6" spans="2:10" ht="15.75">
      <c r="B6" s="5" t="s">
        <v>2</v>
      </c>
      <c r="C6" s="4"/>
      <c r="D6" s="4"/>
      <c r="E6" s="4"/>
      <c r="F6" s="4"/>
      <c r="G6" s="4"/>
      <c r="H6" s="4"/>
      <c r="I6" s="4"/>
      <c r="J6" s="4"/>
    </row>
    <row r="7" spans="2:10" ht="15.75">
      <c r="B7" s="5" t="s">
        <v>3</v>
      </c>
      <c r="C7" s="4"/>
      <c r="D7" s="4"/>
      <c r="E7" s="4"/>
      <c r="F7" s="4"/>
      <c r="G7" s="4"/>
      <c r="H7" s="4"/>
      <c r="I7" s="4"/>
      <c r="J7" s="4"/>
    </row>
    <row r="8" spans="2:10" ht="15.75">
      <c r="B8" s="4"/>
      <c r="C8" s="4"/>
      <c r="D8" s="4"/>
      <c r="E8" s="4"/>
      <c r="F8" s="4"/>
      <c r="G8" s="4"/>
      <c r="H8" s="4"/>
      <c r="I8" s="4"/>
      <c r="J8" s="4"/>
    </row>
    <row r="9" spans="2:10" ht="15.75">
      <c r="B9" s="6" t="s">
        <v>113</v>
      </c>
      <c r="C9" s="4"/>
      <c r="D9" s="4" t="s">
        <v>115</v>
      </c>
      <c r="E9" s="4"/>
      <c r="F9" s="4"/>
      <c r="G9" s="4"/>
      <c r="H9" s="4"/>
      <c r="I9" s="4"/>
      <c r="J9" s="4"/>
    </row>
    <row r="10" spans="2:10" ht="15.75">
      <c r="B10" s="6"/>
      <c r="C10" s="4"/>
      <c r="D10" s="4" t="s">
        <v>116</v>
      </c>
      <c r="E10" s="4"/>
      <c r="F10" s="4"/>
      <c r="G10" s="4"/>
      <c r="H10" s="4"/>
      <c r="I10" s="4"/>
      <c r="J10" s="4"/>
    </row>
    <row r="11" spans="2:10" ht="19.5" customHeight="1">
      <c r="B11" s="6"/>
      <c r="C11" s="4"/>
      <c r="D11" s="4" t="s">
        <v>118</v>
      </c>
      <c r="E11" s="4"/>
      <c r="F11" s="4"/>
      <c r="G11" s="4"/>
      <c r="H11" s="4"/>
      <c r="I11" s="4"/>
      <c r="J11" s="4"/>
    </row>
    <row r="12" spans="2:10" ht="15.75">
      <c r="B12" s="6"/>
      <c r="C12" s="4"/>
      <c r="D12" s="4"/>
      <c r="E12" s="4"/>
      <c r="F12" s="4"/>
      <c r="G12" s="4"/>
      <c r="H12" s="4"/>
      <c r="I12" s="4"/>
      <c r="J12" s="4"/>
    </row>
    <row r="13" spans="2:10" ht="15.75">
      <c r="B13" s="6" t="s">
        <v>114</v>
      </c>
      <c r="C13" s="4"/>
      <c r="D13" s="4" t="s">
        <v>127</v>
      </c>
      <c r="E13" s="4"/>
      <c r="F13" s="4"/>
      <c r="G13" s="4"/>
      <c r="H13" s="4"/>
      <c r="I13" s="4"/>
      <c r="J13" s="4"/>
    </row>
    <row r="14" spans="2:10" ht="18.75" customHeight="1">
      <c r="B14" s="6"/>
      <c r="C14" s="4"/>
      <c r="D14" s="4" t="s">
        <v>124</v>
      </c>
      <c r="E14" s="4"/>
      <c r="F14" s="4"/>
      <c r="G14" s="4"/>
      <c r="H14" s="4"/>
      <c r="I14" s="4"/>
      <c r="J14" s="4"/>
    </row>
    <row r="15" spans="2:10" ht="15.75">
      <c r="B15" s="6"/>
      <c r="C15" s="4"/>
      <c r="D15" s="4" t="s">
        <v>125</v>
      </c>
      <c r="E15" s="4"/>
      <c r="F15" s="4"/>
      <c r="G15" s="4"/>
      <c r="H15" s="4"/>
      <c r="I15" s="4"/>
      <c r="J15" s="4"/>
    </row>
    <row r="16" spans="2:10" ht="15.75">
      <c r="B16" s="4"/>
      <c r="C16" s="4"/>
      <c r="D16" s="4"/>
      <c r="E16" s="4"/>
      <c r="F16" s="4"/>
      <c r="G16" s="4"/>
      <c r="H16" s="4"/>
      <c r="I16" s="4"/>
      <c r="J16" s="4"/>
    </row>
    <row r="17" spans="2:10" ht="15.75">
      <c r="B17" s="7" t="str">
        <f>"    Ocenění bude provedeno k 1.1. "&amp;FIXED(YEAR(rok),0,TRUE)</f>
        <v>    Ocenění bude provedeno k 1.1. 2024</v>
      </c>
      <c r="C17" s="4"/>
      <c r="D17" s="4"/>
      <c r="E17" s="4"/>
      <c r="F17" s="4"/>
      <c r="G17" s="4"/>
      <c r="H17" s="4"/>
      <c r="I17" s="4"/>
      <c r="J17" s="4"/>
    </row>
    <row r="19" ht="23.25">
      <c r="B19" s="8" t="s">
        <v>4</v>
      </c>
    </row>
    <row r="30" spans="2:3" ht="15.75" hidden="1">
      <c r="B30" t="s">
        <v>5</v>
      </c>
      <c r="C30" s="9">
        <v>45292</v>
      </c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spans="2:4" ht="15.75" hidden="1">
      <c r="B41" s="4" t="s">
        <v>6</v>
      </c>
      <c r="C41" s="4"/>
      <c r="D41" s="292">
        <v>0.03</v>
      </c>
    </row>
    <row r="42" spans="2:4" ht="15.75" hidden="1">
      <c r="B42" s="4" t="s">
        <v>7</v>
      </c>
      <c r="C42" s="4"/>
      <c r="D42" s="292">
        <v>0.02</v>
      </c>
    </row>
    <row r="43" spans="2:4" ht="15.75" hidden="1">
      <c r="B43" s="4" t="s">
        <v>8</v>
      </c>
      <c r="C43" s="4"/>
      <c r="D43" s="10">
        <v>0.06</v>
      </c>
    </row>
    <row r="44" spans="2:4" ht="15.75" hidden="1">
      <c r="B44" s="4" t="s">
        <v>9</v>
      </c>
      <c r="C44" s="4"/>
      <c r="D44" s="10">
        <v>0.05</v>
      </c>
    </row>
  </sheetData>
  <sheetProtection/>
  <mergeCells count="1">
    <mergeCell ref="A1:I1"/>
  </mergeCells>
  <printOptions headings="1"/>
  <pageMargins left="0.3937007874015748" right="0.3937007874015748" top="0.984251968503937" bottom="0.984251968503937" header="0.5118110236220472" footer="0.5118110236220472"/>
  <pageSetup fitToHeight="1" fitToWidth="1" horizontalDpi="120" verticalDpi="120" orientation="portrait" paperSize="9" r:id="rId1"/>
  <headerFooter alignWithMargins="0">
    <oddHeader>&amp;C&amp;A</oddHeader>
    <oddFooter>&amp;LIOM - OP27&amp;CStrana &amp;P&amp;RMiloš Mařík, Pavla Maříková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3.75390625" style="0" customWidth="1"/>
    <col min="2" max="8" width="8.125" style="0" customWidth="1"/>
    <col min="9" max="10" width="10.25390625" style="0" customWidth="1"/>
  </cols>
  <sheetData>
    <row r="1" spans="1:8" ht="15.75">
      <c r="A1" s="11" t="s">
        <v>10</v>
      </c>
      <c r="B1" s="4"/>
      <c r="C1" s="4"/>
      <c r="D1" s="4"/>
      <c r="E1" s="4"/>
      <c r="F1" s="4"/>
      <c r="G1" s="4"/>
      <c r="H1" s="4"/>
    </row>
    <row r="2" spans="1:8" ht="16.5" thickBot="1">
      <c r="A2" s="12"/>
      <c r="B2" s="4"/>
      <c r="C2" s="4"/>
      <c r="D2" s="4"/>
      <c r="E2" s="4"/>
      <c r="F2" s="4"/>
      <c r="G2" s="4"/>
      <c r="H2" s="4"/>
    </row>
    <row r="3" spans="1:8" ht="16.5" thickBot="1">
      <c r="A3" s="13" t="s">
        <v>11</v>
      </c>
      <c r="B3" s="14">
        <f>YEAR(rok)-3</f>
        <v>2021</v>
      </c>
      <c r="C3" s="14">
        <f aca="true" t="shared" si="0" ref="C3:H3">B3+1</f>
        <v>2022</v>
      </c>
      <c r="D3" s="15">
        <f t="shared" si="0"/>
        <v>2023</v>
      </c>
      <c r="E3" s="16">
        <f t="shared" si="0"/>
        <v>2024</v>
      </c>
      <c r="F3" s="16">
        <f t="shared" si="0"/>
        <v>2025</v>
      </c>
      <c r="G3" s="16">
        <f t="shared" si="0"/>
        <v>2026</v>
      </c>
      <c r="H3" s="17">
        <f t="shared" si="0"/>
        <v>2027</v>
      </c>
    </row>
    <row r="4" spans="1:8" ht="16.5" thickBot="1">
      <c r="A4" s="309" t="s">
        <v>12</v>
      </c>
      <c r="B4" s="30">
        <f aca="true" t="shared" si="1" ref="B4:H4">(B12+B5+B22)</f>
        <v>160339.99349999998</v>
      </c>
      <c r="C4" s="30">
        <f t="shared" si="1"/>
        <v>196096.813</v>
      </c>
      <c r="D4" s="31">
        <f t="shared" si="1"/>
        <v>215296.95549999998</v>
      </c>
      <c r="E4" s="30">
        <f t="shared" si="1"/>
        <v>241945.8473006148</v>
      </c>
      <c r="F4" s="30">
        <f t="shared" si="1"/>
        <v>244370.16449027476</v>
      </c>
      <c r="G4" s="30">
        <f t="shared" si="1"/>
        <v>270188.51935404603</v>
      </c>
      <c r="H4" s="31">
        <f t="shared" si="1"/>
        <v>279550.8651763224</v>
      </c>
    </row>
    <row r="5" spans="1:8" ht="15.75">
      <c r="A5" s="310" t="s">
        <v>172</v>
      </c>
      <c r="B5" s="18">
        <f aca="true" t="shared" si="2" ref="B5:H5">B6+B11</f>
        <v>115394</v>
      </c>
      <c r="C5" s="18">
        <f t="shared" si="2"/>
        <v>120336</v>
      </c>
      <c r="D5" s="19">
        <f t="shared" si="2"/>
        <v>119043</v>
      </c>
      <c r="E5" s="18">
        <f t="shared" si="2"/>
        <v>161793</v>
      </c>
      <c r="F5" s="18">
        <f t="shared" si="2"/>
        <v>153293</v>
      </c>
      <c r="G5" s="18">
        <f t="shared" si="2"/>
        <v>174918</v>
      </c>
      <c r="H5" s="19">
        <f t="shared" si="2"/>
        <v>180730.5</v>
      </c>
    </row>
    <row r="6" spans="1:8" ht="15.75">
      <c r="A6" s="311" t="s">
        <v>140</v>
      </c>
      <c r="B6" s="21">
        <f aca="true" t="shared" si="3" ref="B6:H6">SUM(B7:B10)</f>
        <v>104394</v>
      </c>
      <c r="C6" s="21">
        <f t="shared" si="3"/>
        <v>109336</v>
      </c>
      <c r="D6" s="22">
        <f t="shared" si="3"/>
        <v>98043</v>
      </c>
      <c r="E6" s="21">
        <f t="shared" si="3"/>
        <v>140793</v>
      </c>
      <c r="F6" s="21">
        <f t="shared" si="3"/>
        <v>132293</v>
      </c>
      <c r="G6" s="21">
        <f t="shared" si="3"/>
        <v>153918</v>
      </c>
      <c r="H6" s="22">
        <f t="shared" si="3"/>
        <v>159730.5</v>
      </c>
    </row>
    <row r="7" spans="1:8" ht="15.75">
      <c r="A7" s="62" t="s">
        <v>141</v>
      </c>
      <c r="B7" s="23">
        <v>20000</v>
      </c>
      <c r="C7" s="23">
        <v>20000</v>
      </c>
      <c r="D7" s="24">
        <v>20000</v>
      </c>
      <c r="E7" s="23">
        <v>20000</v>
      </c>
      <c r="F7" s="23">
        <v>20000</v>
      </c>
      <c r="G7" s="23">
        <v>20000</v>
      </c>
      <c r="H7" s="24">
        <v>20000</v>
      </c>
    </row>
    <row r="8" spans="1:8" ht="15.75">
      <c r="A8" s="312" t="s">
        <v>142</v>
      </c>
      <c r="B8" s="317">
        <v>4394</v>
      </c>
      <c r="C8" s="317">
        <v>14336</v>
      </c>
      <c r="D8" s="318">
        <v>8043</v>
      </c>
      <c r="E8" s="317">
        <v>8043</v>
      </c>
      <c r="F8" s="317">
        <v>8043</v>
      </c>
      <c r="G8" s="317">
        <v>8043</v>
      </c>
      <c r="H8" s="318">
        <v>8043</v>
      </c>
    </row>
    <row r="9" spans="1:8" ht="15.75">
      <c r="A9" s="62" t="s">
        <v>143</v>
      </c>
      <c r="B9" s="23">
        <v>60000</v>
      </c>
      <c r="C9" s="23">
        <v>59000</v>
      </c>
      <c r="D9" s="24">
        <v>58000</v>
      </c>
      <c r="E9" s="23">
        <v>86000</v>
      </c>
      <c r="F9" s="23">
        <v>84000</v>
      </c>
      <c r="G9" s="23">
        <v>82000</v>
      </c>
      <c r="H9" s="24">
        <v>80000</v>
      </c>
    </row>
    <row r="10" spans="1:8" ht="15.75">
      <c r="A10" s="313" t="s">
        <v>144</v>
      </c>
      <c r="B10" s="25">
        <v>20000</v>
      </c>
      <c r="C10" s="25">
        <v>16000</v>
      </c>
      <c r="D10" s="26">
        <v>12000</v>
      </c>
      <c r="E10" s="25">
        <v>26750</v>
      </c>
      <c r="F10" s="25">
        <v>20250</v>
      </c>
      <c r="G10" s="25">
        <v>43875</v>
      </c>
      <c r="H10" s="26">
        <v>51687.5</v>
      </c>
    </row>
    <row r="11" spans="1:8" ht="16.5" thickBot="1">
      <c r="A11" s="314" t="s">
        <v>145</v>
      </c>
      <c r="B11" s="319">
        <v>11000</v>
      </c>
      <c r="C11" s="319">
        <v>11000</v>
      </c>
      <c r="D11" s="320">
        <v>21000</v>
      </c>
      <c r="E11" s="319">
        <v>21000</v>
      </c>
      <c r="F11" s="319">
        <v>21000</v>
      </c>
      <c r="G11" s="319">
        <v>21000</v>
      </c>
      <c r="H11" s="320">
        <v>21000</v>
      </c>
    </row>
    <row r="12" spans="1:8" ht="15.75">
      <c r="A12" s="310" t="s">
        <v>13</v>
      </c>
      <c r="B12" s="27">
        <f aca="true" t="shared" si="4" ref="B12:H12">B13+B17+B18+B19</f>
        <v>43945.99349999998</v>
      </c>
      <c r="C12" s="27">
        <f t="shared" si="4"/>
        <v>75260.813</v>
      </c>
      <c r="D12" s="28">
        <f t="shared" si="4"/>
        <v>96253.95549999998</v>
      </c>
      <c r="E12" s="27">
        <f t="shared" si="4"/>
        <v>80152.84730061481</v>
      </c>
      <c r="F12" s="27">
        <f t="shared" si="4"/>
        <v>91077.16449027476</v>
      </c>
      <c r="G12" s="27">
        <f t="shared" si="4"/>
        <v>95270.51935404603</v>
      </c>
      <c r="H12" s="28">
        <f t="shared" si="4"/>
        <v>98820.3651763224</v>
      </c>
    </row>
    <row r="13" spans="1:8" ht="15.75">
      <c r="A13" s="311" t="s">
        <v>14</v>
      </c>
      <c r="B13" s="21">
        <f aca="true" t="shared" si="5" ref="B13:H13">SUM(B14:B16)</f>
        <v>12292</v>
      </c>
      <c r="C13" s="21">
        <f t="shared" si="5"/>
        <v>20718</v>
      </c>
      <c r="D13" s="22">
        <f t="shared" si="5"/>
        <v>24699.4</v>
      </c>
      <c r="E13" s="21">
        <f t="shared" si="5"/>
        <v>29257.797922349648</v>
      </c>
      <c r="F13" s="21">
        <f t="shared" si="5"/>
        <v>33940.151079928684</v>
      </c>
      <c r="G13" s="21">
        <f t="shared" si="5"/>
        <v>37298.94527642351</v>
      </c>
      <c r="H13" s="22">
        <f t="shared" si="5"/>
        <v>39714.74270428075</v>
      </c>
    </row>
    <row r="14" spans="1:8" ht="15.75">
      <c r="A14" s="62" t="s">
        <v>146</v>
      </c>
      <c r="B14" s="23">
        <v>4956.8</v>
      </c>
      <c r="C14" s="23">
        <v>7893.2</v>
      </c>
      <c r="D14" s="24">
        <v>9578</v>
      </c>
      <c r="E14" s="23">
        <v>10891.589007590015</v>
      </c>
      <c r="F14" s="23">
        <v>12247.271498181812</v>
      </c>
      <c r="G14" s="23">
        <v>13210.043118733325</v>
      </c>
      <c r="H14" s="24">
        <v>13936.595490263657</v>
      </c>
    </row>
    <row r="15" spans="1:8" ht="15.75">
      <c r="A15" s="62" t="s">
        <v>147</v>
      </c>
      <c r="B15" s="23">
        <v>6196</v>
      </c>
      <c r="C15" s="23">
        <v>10866.5</v>
      </c>
      <c r="D15" s="24">
        <v>12664.5</v>
      </c>
      <c r="E15" s="23">
        <v>15305.174095633029</v>
      </c>
      <c r="F15" s="23">
        <v>18010.693379679135</v>
      </c>
      <c r="G15" s="23">
        <v>19858.234753651403</v>
      </c>
      <c r="H15" s="24">
        <v>21223.704243342694</v>
      </c>
    </row>
    <row r="16" spans="1:8" ht="15.75">
      <c r="A16" s="313" t="s">
        <v>148</v>
      </c>
      <c r="B16" s="25">
        <v>1139.2</v>
      </c>
      <c r="C16" s="25">
        <v>1958.3</v>
      </c>
      <c r="D16" s="26">
        <v>2456.9</v>
      </c>
      <c r="E16" s="25">
        <v>3061.0348191266057</v>
      </c>
      <c r="F16" s="25">
        <v>3682.186202067734</v>
      </c>
      <c r="G16" s="25">
        <v>4230.667404038778</v>
      </c>
      <c r="H16" s="26">
        <v>4554.442970674399</v>
      </c>
    </row>
    <row r="17" spans="1:8" ht="15.75">
      <c r="A17" s="315" t="s">
        <v>149</v>
      </c>
      <c r="B17" s="260">
        <v>21362</v>
      </c>
      <c r="C17" s="260">
        <v>26462</v>
      </c>
      <c r="D17" s="261">
        <v>31569</v>
      </c>
      <c r="E17" s="260">
        <v>35806.98869815541</v>
      </c>
      <c r="F17" s="260">
        <v>40263.905644349354</v>
      </c>
      <c r="G17" s="260">
        <v>43429.09600472459</v>
      </c>
      <c r="H17" s="261">
        <v>45817.69628498444</v>
      </c>
    </row>
    <row r="18" spans="1:8" ht="15.75">
      <c r="A18" s="316" t="s">
        <v>150</v>
      </c>
      <c r="B18" s="321">
        <v>5000</v>
      </c>
      <c r="C18" s="321">
        <v>5000</v>
      </c>
      <c r="D18" s="322">
        <v>5000</v>
      </c>
      <c r="E18" s="321">
        <f>D18</f>
        <v>5000</v>
      </c>
      <c r="F18" s="321">
        <f>E18</f>
        <v>5000</v>
      </c>
      <c r="G18" s="321">
        <f>F18</f>
        <v>5000</v>
      </c>
      <c r="H18" s="322">
        <f>G18</f>
        <v>5000</v>
      </c>
    </row>
    <row r="19" spans="1:8" ht="15.75">
      <c r="A19" s="311" t="s">
        <v>151</v>
      </c>
      <c r="B19" s="21">
        <f>Pasiva!B4-Aktiva!B5-Aktiva!B13-Aktiva!B17-Aktiva!B18-Aktiva!B22</f>
        <v>5291.993499999982</v>
      </c>
      <c r="C19" s="21">
        <f>Pasiva!C4-Aktiva!C5-Aktiva!C13-Aktiva!C17-Aktiva!C18-Aktiva!C22</f>
        <v>23080.812999999995</v>
      </c>
      <c r="D19" s="22">
        <f>Pasiva!D4-Aktiva!D5-Aktiva!D13-Aktiva!D17-Aktiva!D18-Aktiva!D22</f>
        <v>34985.55549999999</v>
      </c>
      <c r="E19" s="21">
        <f>Pasiva!E4-Aktiva!E5-Aktiva!E13-Aktiva!E17-Aktiva!E18-Aktiva!E22</f>
        <v>10088.060680109753</v>
      </c>
      <c r="F19" s="21">
        <f>Pasiva!F4-Aktiva!F5-Aktiva!F13-Aktiva!F17-Aktiva!F18-Aktiva!F22</f>
        <v>11873.107765996727</v>
      </c>
      <c r="G19" s="21">
        <f>Pasiva!G4-Aktiva!G5-Aktiva!G13-Aktiva!G17-Aktiva!G18-Aktiva!G22</f>
        <v>9542.478072897931</v>
      </c>
      <c r="H19" s="22">
        <f>Pasiva!H4-Aktiva!H5-Aktiva!H13-Aktiva!H17-Aktiva!H18-Aktiva!H22</f>
        <v>8287.926187057215</v>
      </c>
    </row>
    <row r="20" spans="1:8" ht="15.75">
      <c r="A20" s="62" t="s">
        <v>152</v>
      </c>
      <c r="B20" s="23">
        <f>MIN(B19,Podklady!$D$7)</f>
        <v>5291.993499999982</v>
      </c>
      <c r="C20" s="118">
        <f>MIN(C19,Podklady!$D$7)</f>
        <v>8000</v>
      </c>
      <c r="D20" s="119">
        <f>MIN(D19,Podklady!$D$7)</f>
        <v>8000</v>
      </c>
      <c r="E20" s="118">
        <f>MIN(E19,Podklady!$D$7)</f>
        <v>8000</v>
      </c>
      <c r="F20" s="118">
        <f>MIN(F19,Podklady!$D$7)</f>
        <v>8000</v>
      </c>
      <c r="G20" s="118">
        <f>MIN(G19,Podklady!$D$7)</f>
        <v>8000</v>
      </c>
      <c r="H20" s="119">
        <f>MIN(H19,Podklady!$D$7)</f>
        <v>8000</v>
      </c>
    </row>
    <row r="21" spans="1:8" ht="16.5" thickBot="1">
      <c r="A21" s="312" t="s">
        <v>153</v>
      </c>
      <c r="B21" s="317">
        <f>B19-B20</f>
        <v>0</v>
      </c>
      <c r="C21" s="317">
        <f aca="true" t="shared" si="6" ref="C21:H21">C19-C20</f>
        <v>15080.812999999995</v>
      </c>
      <c r="D21" s="318">
        <f t="shared" si="6"/>
        <v>26985.555499999988</v>
      </c>
      <c r="E21" s="317">
        <f t="shared" si="6"/>
        <v>2088.060680109753</v>
      </c>
      <c r="F21" s="317">
        <f t="shared" si="6"/>
        <v>3873.107765996727</v>
      </c>
      <c r="G21" s="317">
        <f t="shared" si="6"/>
        <v>1542.4780728979313</v>
      </c>
      <c r="H21" s="318">
        <f t="shared" si="6"/>
        <v>287.92618705721543</v>
      </c>
    </row>
    <row r="22" spans="1:8" ht="16.5" thickBot="1">
      <c r="A22" s="309" t="s">
        <v>154</v>
      </c>
      <c r="B22" s="30">
        <v>1000</v>
      </c>
      <c r="C22" s="30">
        <v>500</v>
      </c>
      <c r="D22" s="31">
        <v>0</v>
      </c>
      <c r="E22" s="30">
        <v>0</v>
      </c>
      <c r="F22" s="30">
        <v>0</v>
      </c>
      <c r="G22" s="30">
        <v>0</v>
      </c>
      <c r="H22" s="31">
        <v>0</v>
      </c>
    </row>
    <row r="24" spans="1:8" ht="18">
      <c r="A24" s="32" t="s">
        <v>15</v>
      </c>
      <c r="B24" s="2"/>
      <c r="C24" s="2"/>
      <c r="D24" s="2"/>
      <c r="E24" s="2"/>
      <c r="F24" s="2"/>
      <c r="G24" s="2"/>
      <c r="H24" s="2"/>
    </row>
  </sheetData>
  <sheetProtection/>
  <printOptions headings="1"/>
  <pageMargins left="0.3937007874015748" right="0.3937007874015748" top="0.984251968503937" bottom="0.984251968503937" header="0.5118110236220472" footer="0.5118110236220472"/>
  <pageSetup fitToHeight="1" fitToWidth="1" horizontalDpi="120" verticalDpi="120" orientation="portrait" paperSize="9" r:id="rId1"/>
  <headerFooter alignWithMargins="0">
    <oddHeader>&amp;C&amp;A</oddHeader>
    <oddFooter>&amp;LIOM - OP27&amp;CStrana &amp;P&amp;RMiloš Mařík, Pavla Maříková</oddFooter>
  </headerFooter>
  <ignoredErrors>
    <ignoredError sqref="B13 C13:H13 B6:H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3.75390625" style="0" customWidth="1"/>
    <col min="2" max="8" width="8.125" style="0" customWidth="1"/>
    <col min="9" max="10" width="10.25390625" style="0" customWidth="1"/>
  </cols>
  <sheetData>
    <row r="1" spans="1:8" ht="15.75">
      <c r="A1" s="11" t="s">
        <v>10</v>
      </c>
      <c r="B1" s="4"/>
      <c r="C1" s="4"/>
      <c r="D1" s="4"/>
      <c r="E1" s="4"/>
      <c r="F1" s="4"/>
      <c r="G1" s="4"/>
      <c r="H1" s="4"/>
    </row>
    <row r="2" spans="1:8" ht="16.5" thickBot="1">
      <c r="A2" s="12"/>
      <c r="B2" s="4"/>
      <c r="C2" s="4"/>
      <c r="D2" s="4"/>
      <c r="E2" s="4"/>
      <c r="F2" s="4"/>
      <c r="G2" s="4"/>
      <c r="H2" s="4"/>
    </row>
    <row r="3" spans="1:8" ht="16.5" thickBot="1">
      <c r="A3" s="13" t="s">
        <v>16</v>
      </c>
      <c r="B3" s="14">
        <f>Aktiva!B3</f>
        <v>2021</v>
      </c>
      <c r="C3" s="14">
        <f>Aktiva!C3</f>
        <v>2022</v>
      </c>
      <c r="D3" s="15">
        <f>Aktiva!D3</f>
        <v>2023</v>
      </c>
      <c r="E3" s="16">
        <f>Aktiva!E3</f>
        <v>2024</v>
      </c>
      <c r="F3" s="16">
        <f>Aktiva!F3</f>
        <v>2025</v>
      </c>
      <c r="G3" s="16">
        <f>Aktiva!G3</f>
        <v>2026</v>
      </c>
      <c r="H3" s="17">
        <f>Aktiva!H3</f>
        <v>2027</v>
      </c>
    </row>
    <row r="4" spans="1:8" ht="16.5" thickBot="1">
      <c r="A4" s="29" t="s">
        <v>17</v>
      </c>
      <c r="B4" s="30">
        <f aca="true" t="shared" si="0" ref="B4:H4">(B11+B5+B17)</f>
        <v>160339.99349999998</v>
      </c>
      <c r="C4" s="30">
        <f t="shared" si="0"/>
        <v>196096.813</v>
      </c>
      <c r="D4" s="31">
        <f t="shared" si="0"/>
        <v>215296.95549999998</v>
      </c>
      <c r="E4" s="30">
        <f t="shared" si="0"/>
        <v>241945.8473006148</v>
      </c>
      <c r="F4" s="30">
        <f t="shared" si="0"/>
        <v>244370.16449027476</v>
      </c>
      <c r="G4" s="30">
        <f t="shared" si="0"/>
        <v>270188.51935404603</v>
      </c>
      <c r="H4" s="31">
        <f t="shared" si="0"/>
        <v>279550.8651763224</v>
      </c>
    </row>
    <row r="5" spans="1:8" ht="15.75">
      <c r="A5" s="120" t="s">
        <v>18</v>
      </c>
      <c r="B5" s="18">
        <f aca="true" t="shared" si="1" ref="B5:H5">SUM(B6:B10)</f>
        <v>87718.9935</v>
      </c>
      <c r="C5" s="18">
        <f t="shared" si="1"/>
        <v>109387.813</v>
      </c>
      <c r="D5" s="19">
        <f t="shared" si="1"/>
        <v>124056.9555</v>
      </c>
      <c r="E5" s="18">
        <f t="shared" si="1"/>
        <v>133204.76444493944</v>
      </c>
      <c r="F5" s="18">
        <f t="shared" si="1"/>
        <v>143087.36755679885</v>
      </c>
      <c r="G5" s="18">
        <f t="shared" si="1"/>
        <v>154828.10143941076</v>
      </c>
      <c r="H5" s="19">
        <f t="shared" si="1"/>
        <v>166909.2842763822</v>
      </c>
    </row>
    <row r="6" spans="1:8" ht="15.75">
      <c r="A6" s="33" t="s">
        <v>19</v>
      </c>
      <c r="B6" s="34">
        <v>13000</v>
      </c>
      <c r="C6" s="34">
        <v>20000</v>
      </c>
      <c r="D6" s="35">
        <v>20000</v>
      </c>
      <c r="E6" s="34">
        <f aca="true" t="shared" si="2" ref="E6:H8">D6</f>
        <v>20000</v>
      </c>
      <c r="F6" s="34">
        <f t="shared" si="2"/>
        <v>20000</v>
      </c>
      <c r="G6" s="34">
        <f t="shared" si="2"/>
        <v>20000</v>
      </c>
      <c r="H6" s="35">
        <f t="shared" si="2"/>
        <v>20000</v>
      </c>
    </row>
    <row r="7" spans="1:8" ht="15.75">
      <c r="A7" s="33" t="s">
        <v>155</v>
      </c>
      <c r="B7" s="34">
        <v>3000</v>
      </c>
      <c r="C7" s="34">
        <v>6000</v>
      </c>
      <c r="D7" s="35">
        <v>6000</v>
      </c>
      <c r="E7" s="34">
        <f t="shared" si="2"/>
        <v>6000</v>
      </c>
      <c r="F7" s="34">
        <f t="shared" si="2"/>
        <v>6000</v>
      </c>
      <c r="G7" s="34">
        <f t="shared" si="2"/>
        <v>6000</v>
      </c>
      <c r="H7" s="35">
        <f t="shared" si="2"/>
        <v>6000</v>
      </c>
    </row>
    <row r="8" spans="1:8" ht="15.75">
      <c r="A8" s="33" t="s">
        <v>156</v>
      </c>
      <c r="B8" s="34">
        <v>3000</v>
      </c>
      <c r="C8" s="34">
        <v>4000</v>
      </c>
      <c r="D8" s="35">
        <v>4000</v>
      </c>
      <c r="E8" s="34">
        <f t="shared" si="2"/>
        <v>4000</v>
      </c>
      <c r="F8" s="34">
        <f t="shared" si="2"/>
        <v>4000</v>
      </c>
      <c r="G8" s="34">
        <f t="shared" si="2"/>
        <v>4000</v>
      </c>
      <c r="H8" s="35">
        <f t="shared" si="2"/>
        <v>4000</v>
      </c>
    </row>
    <row r="9" spans="1:8" ht="15.75">
      <c r="A9" s="33" t="s">
        <v>157</v>
      </c>
      <c r="B9" s="34">
        <v>58271</v>
      </c>
      <c r="C9" s="34">
        <f>B9+Výsledovka!B28-(C8-B8)</f>
        <v>61718.9935</v>
      </c>
      <c r="D9" s="35">
        <f>C9+Výsledovka!C28-(D8-C8)</f>
        <v>72387.813</v>
      </c>
      <c r="E9" s="34">
        <f>D9+Výsledovka!D28-(E8-D8)</f>
        <v>86556.9555</v>
      </c>
      <c r="F9" s="34">
        <f>E9+Výsledovka!E28-(F8-E8)</f>
        <v>95204.76444493944</v>
      </c>
      <c r="G9" s="34">
        <f>F9+Výsledovka!F28-(G8-F8)</f>
        <v>105087.36755679887</v>
      </c>
      <c r="H9" s="35">
        <f>G9+Výsledovka!G28-(H8-G8)</f>
        <v>116828.10143941078</v>
      </c>
    </row>
    <row r="10" spans="1:8" ht="16.5" thickBot="1">
      <c r="A10" s="20" t="s">
        <v>158</v>
      </c>
      <c r="B10" s="21">
        <f>Výsledovka!B26</f>
        <v>10447.9935</v>
      </c>
      <c r="C10" s="21">
        <f>Výsledovka!C26</f>
        <v>17668.819500000005</v>
      </c>
      <c r="D10" s="22">
        <f>Výsledovka!D26</f>
        <v>21669.142500000005</v>
      </c>
      <c r="E10" s="21">
        <f>Výsledovka!E26</f>
        <v>16647.80894493945</v>
      </c>
      <c r="F10" s="21">
        <f>Výsledovka!F26</f>
        <v>17882.603111859422</v>
      </c>
      <c r="G10" s="21">
        <f>Výsledovka!G26</f>
        <v>19740.73388261191</v>
      </c>
      <c r="H10" s="22">
        <f>Výsledovka!H26</f>
        <v>20081.18283697145</v>
      </c>
    </row>
    <row r="11" spans="1:8" ht="15.75">
      <c r="A11" s="120" t="s">
        <v>159</v>
      </c>
      <c r="B11" s="27">
        <f>B12+B13+B16</f>
        <v>71421</v>
      </c>
      <c r="C11" s="27">
        <f aca="true" t="shared" si="3" ref="C11:H11">C12+C13+C16</f>
        <v>85609</v>
      </c>
      <c r="D11" s="28">
        <f t="shared" si="3"/>
        <v>90340</v>
      </c>
      <c r="E11" s="27">
        <f t="shared" si="3"/>
        <v>107841.08285567537</v>
      </c>
      <c r="F11" s="27">
        <f t="shared" si="3"/>
        <v>100382.79693347591</v>
      </c>
      <c r="G11" s="27">
        <f t="shared" si="3"/>
        <v>114460.41791463527</v>
      </c>
      <c r="H11" s="28">
        <f t="shared" si="3"/>
        <v>111741.58089994019</v>
      </c>
    </row>
    <row r="12" spans="1:8" ht="15.75">
      <c r="A12" s="33" t="s">
        <v>160</v>
      </c>
      <c r="B12" s="34">
        <v>916</v>
      </c>
      <c r="C12" s="34">
        <v>1916</v>
      </c>
      <c r="D12" s="35">
        <v>716</v>
      </c>
      <c r="E12" s="34">
        <f>D12</f>
        <v>716</v>
      </c>
      <c r="F12" s="34">
        <f>E12</f>
        <v>716</v>
      </c>
      <c r="G12" s="34">
        <f>F12</f>
        <v>716</v>
      </c>
      <c r="H12" s="35">
        <f>G12</f>
        <v>716</v>
      </c>
    </row>
    <row r="13" spans="1:8" ht="15.75">
      <c r="A13" s="323" t="s">
        <v>161</v>
      </c>
      <c r="B13" s="328">
        <f>B14+B15</f>
        <v>40973</v>
      </c>
      <c r="C13" s="329">
        <f aca="true" t="shared" si="4" ref="C13:H13">C14+C15</f>
        <v>46507</v>
      </c>
      <c r="D13" s="330">
        <f t="shared" si="4"/>
        <v>48996</v>
      </c>
      <c r="E13" s="329">
        <f t="shared" si="4"/>
        <v>60996</v>
      </c>
      <c r="F13" s="329">
        <f t="shared" si="4"/>
        <v>47796</v>
      </c>
      <c r="G13" s="329">
        <f t="shared" si="4"/>
        <v>57796</v>
      </c>
      <c r="H13" s="330">
        <f t="shared" si="4"/>
        <v>52000</v>
      </c>
    </row>
    <row r="14" spans="1:8" ht="15.75">
      <c r="A14" s="324" t="s">
        <v>162</v>
      </c>
      <c r="B14" s="331">
        <v>13200</v>
      </c>
      <c r="C14" s="118">
        <f>B14</f>
        <v>13200</v>
      </c>
      <c r="D14" s="119">
        <f>C14</f>
        <v>13200</v>
      </c>
      <c r="E14" s="118">
        <f>D14</f>
        <v>13200</v>
      </c>
      <c r="F14" s="118">
        <v>0</v>
      </c>
      <c r="G14" s="118">
        <v>0</v>
      </c>
      <c r="H14" s="119">
        <v>0</v>
      </c>
    </row>
    <row r="15" spans="1:8" ht="15.75">
      <c r="A15" s="325" t="s">
        <v>163</v>
      </c>
      <c r="B15" s="332">
        <v>27773</v>
      </c>
      <c r="C15" s="326">
        <v>33307</v>
      </c>
      <c r="D15" s="327">
        <v>35796</v>
      </c>
      <c r="E15" s="326">
        <v>47796</v>
      </c>
      <c r="F15" s="326">
        <v>47796</v>
      </c>
      <c r="G15" s="326">
        <v>57796</v>
      </c>
      <c r="H15" s="327">
        <v>52000</v>
      </c>
    </row>
    <row r="16" spans="1:8" ht="16.5" thickBot="1">
      <c r="A16" s="259" t="s">
        <v>164</v>
      </c>
      <c r="B16" s="34">
        <v>29532</v>
      </c>
      <c r="C16" s="34">
        <v>37186</v>
      </c>
      <c r="D16" s="35">
        <v>40628</v>
      </c>
      <c r="E16" s="34">
        <v>46129.08285567536</v>
      </c>
      <c r="F16" s="34">
        <v>51870.796933475904</v>
      </c>
      <c r="G16" s="34">
        <v>55948.41791463526</v>
      </c>
      <c r="H16" s="35">
        <v>59025.5808999402</v>
      </c>
    </row>
    <row r="17" spans="1:8" ht="16.5" thickBot="1">
      <c r="A17" s="29" t="s">
        <v>165</v>
      </c>
      <c r="B17" s="30">
        <v>1200</v>
      </c>
      <c r="C17" s="30">
        <v>1100</v>
      </c>
      <c r="D17" s="31">
        <v>900</v>
      </c>
      <c r="E17" s="30">
        <v>900</v>
      </c>
      <c r="F17" s="30">
        <v>900</v>
      </c>
      <c r="G17" s="30">
        <v>900</v>
      </c>
      <c r="H17" s="31">
        <v>900</v>
      </c>
    </row>
    <row r="19" spans="1:8" ht="18">
      <c r="A19" s="32" t="s">
        <v>15</v>
      </c>
      <c r="B19" s="2"/>
      <c r="C19" s="2"/>
      <c r="D19" s="2"/>
      <c r="E19" s="2"/>
      <c r="F19" s="2"/>
      <c r="G19" s="2"/>
      <c r="H19" s="2"/>
    </row>
  </sheetData>
  <sheetProtection/>
  <printOptions headings="1"/>
  <pageMargins left="0.3937007874015748" right="0.3937007874015748" top="0.984251968503937" bottom="0.984251968503937" header="0.5118110236220472" footer="0.5118110236220472"/>
  <pageSetup fitToHeight="1" fitToWidth="1" horizontalDpi="120" verticalDpi="120" orientation="portrait" paperSize="9" r:id="rId1"/>
  <headerFooter alignWithMargins="0">
    <oddHeader>&amp;C&amp;A</oddHeader>
    <oddFooter>&amp;LIOM - OP27&amp;CStrana &amp;P&amp;RMiloš Mařík, Pavla Maříková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4.00390625" style="0" customWidth="1"/>
    <col min="2" max="8" width="7.875" style="0" customWidth="1"/>
    <col min="9" max="10" width="10.25390625" style="0" customWidth="1"/>
  </cols>
  <sheetData>
    <row r="1" spans="1:8" ht="15.75">
      <c r="A1" s="11" t="s">
        <v>20</v>
      </c>
      <c r="B1" s="4"/>
      <c r="C1" s="4"/>
      <c r="D1" s="4"/>
      <c r="E1" s="4"/>
      <c r="F1" s="4"/>
      <c r="G1" s="4"/>
      <c r="H1" s="4"/>
    </row>
    <row r="2" spans="1:8" ht="16.5" thickBot="1">
      <c r="A2" s="37" t="s">
        <v>21</v>
      </c>
      <c r="B2" s="38">
        <v>0.19</v>
      </c>
      <c r="C2" s="38">
        <v>0.19</v>
      </c>
      <c r="D2" s="38">
        <v>0.19</v>
      </c>
      <c r="E2" s="38">
        <v>0.21</v>
      </c>
      <c r="F2" s="38">
        <v>0.21</v>
      </c>
      <c r="G2" s="38">
        <v>0.21</v>
      </c>
      <c r="H2" s="38">
        <v>0.21</v>
      </c>
    </row>
    <row r="3" spans="1:8" ht="15.75" hidden="1">
      <c r="A3" s="37"/>
      <c r="B3" s="38"/>
      <c r="C3" s="4"/>
      <c r="D3" s="4"/>
      <c r="E3" s="38"/>
      <c r="F3" s="4"/>
      <c r="G3" s="4"/>
      <c r="H3" s="4"/>
    </row>
    <row r="4" spans="1:8" ht="15.75" hidden="1">
      <c r="A4" s="37"/>
      <c r="B4" s="38"/>
      <c r="C4" s="4"/>
      <c r="D4" s="4"/>
      <c r="E4" s="38"/>
      <c r="F4" s="4"/>
      <c r="G4" s="4"/>
      <c r="H4" s="4"/>
    </row>
    <row r="5" spans="1:8" ht="16.5" hidden="1" thickBot="1">
      <c r="A5" s="37"/>
      <c r="B5" s="38"/>
      <c r="C5" s="4"/>
      <c r="D5" s="4"/>
      <c r="E5" s="38"/>
      <c r="F5" s="4"/>
      <c r="G5" s="4"/>
      <c r="H5" s="4"/>
    </row>
    <row r="6" spans="1:8" ht="16.5" thickBot="1">
      <c r="A6" s="13" t="s">
        <v>22</v>
      </c>
      <c r="B6" s="14">
        <f>Aktiva!B3</f>
        <v>2021</v>
      </c>
      <c r="C6" s="14">
        <f>Aktiva!C3</f>
        <v>2022</v>
      </c>
      <c r="D6" s="15">
        <f>Aktiva!D3</f>
        <v>2023</v>
      </c>
      <c r="E6" s="16">
        <f>Aktiva!E3</f>
        <v>2024</v>
      </c>
      <c r="F6" s="16">
        <f>Aktiva!F3</f>
        <v>2025</v>
      </c>
      <c r="G6" s="16">
        <f>Aktiva!G3</f>
        <v>2026</v>
      </c>
      <c r="H6" s="17">
        <f>Aktiva!H3</f>
        <v>2027</v>
      </c>
    </row>
    <row r="7" spans="1:8" s="46" customFormat="1" ht="19.5" thickBot="1">
      <c r="A7" s="123" t="s">
        <v>70</v>
      </c>
      <c r="B7" s="124"/>
      <c r="C7" s="124"/>
      <c r="D7" s="124"/>
      <c r="E7" s="124"/>
      <c r="F7" s="124"/>
      <c r="G7" s="124"/>
      <c r="H7" s="124"/>
    </row>
    <row r="8" spans="1:8" s="46" customFormat="1" ht="15">
      <c r="A8" s="336" t="s">
        <v>166</v>
      </c>
      <c r="B8" s="333">
        <v>163928</v>
      </c>
      <c r="C8" s="334">
        <v>209578</v>
      </c>
      <c r="D8" s="335">
        <v>228929</v>
      </c>
      <c r="E8" s="138">
        <v>259832.0253444677</v>
      </c>
      <c r="F8" s="139">
        <v>292173.4703814615</v>
      </c>
      <c r="G8" s="139">
        <v>315141.5515253375</v>
      </c>
      <c r="H8" s="140">
        <v>332474.33685923106</v>
      </c>
    </row>
    <row r="9" spans="1:8" s="46" customFormat="1" ht="15">
      <c r="A9" s="126" t="s">
        <v>71</v>
      </c>
      <c r="B9" s="144">
        <v>104454</v>
      </c>
      <c r="C9" s="145">
        <v>135905</v>
      </c>
      <c r="D9" s="146">
        <v>146778</v>
      </c>
      <c r="E9" s="147">
        <v>166552.3282458038</v>
      </c>
      <c r="F9" s="148">
        <v>187283.19451451683</v>
      </c>
      <c r="G9" s="148">
        <v>202005.73452774136</v>
      </c>
      <c r="H9" s="149">
        <v>213116.04992676713</v>
      </c>
    </row>
    <row r="10" spans="1:8" s="46" customFormat="1" ht="15">
      <c r="A10" s="126" t="s">
        <v>167</v>
      </c>
      <c r="B10" s="144">
        <v>-1000</v>
      </c>
      <c r="C10" s="145">
        <f>-((Aktiva!C15+Aktiva!C16)-(Aktiva!B15+Aktiva!B16))</f>
        <v>-5489.599999999999</v>
      </c>
      <c r="D10" s="146">
        <f>-((Aktiva!D15+Aktiva!D16)-(Aktiva!C15+Aktiva!C16))</f>
        <v>-2296.6000000000004</v>
      </c>
      <c r="E10" s="145">
        <f>-((Aktiva!E15+Aktiva!E16)-(Aktiva!D15+Aktiva!D16))</f>
        <v>-3244.8089147596347</v>
      </c>
      <c r="F10" s="150">
        <f>-((Aktiva!F15+Aktiva!F16)-(Aktiva!E15+Aktiva!E16))</f>
        <v>-3326.670666987233</v>
      </c>
      <c r="G10" s="150">
        <f>-((Aktiva!G15+Aktiva!G16)-(Aktiva!F15+Aktiva!F16))</f>
        <v>-2396.0225759433124</v>
      </c>
      <c r="H10" s="151">
        <f>-((Aktiva!H15+Aktiva!H16)-(Aktiva!G15+Aktiva!G16))</f>
        <v>-1689.2450563269122</v>
      </c>
    </row>
    <row r="11" spans="1:8" s="46" customFormat="1" ht="15">
      <c r="A11" s="126" t="s">
        <v>72</v>
      </c>
      <c r="B11" s="144">
        <v>40486</v>
      </c>
      <c r="C11" s="145">
        <v>49676</v>
      </c>
      <c r="D11" s="146">
        <v>58523</v>
      </c>
      <c r="E11" s="145">
        <v>66516.99848818373</v>
      </c>
      <c r="F11" s="150">
        <v>74796.40841765414</v>
      </c>
      <c r="G11" s="150">
        <v>80676.2371904864</v>
      </c>
      <c r="H11" s="151">
        <v>84448.48156224469</v>
      </c>
    </row>
    <row r="12" spans="1:8" s="46" customFormat="1" ht="15">
      <c r="A12" s="129" t="s">
        <v>73</v>
      </c>
      <c r="B12" s="156">
        <v>916</v>
      </c>
      <c r="C12" s="157">
        <v>1000</v>
      </c>
      <c r="D12" s="158">
        <v>-1200</v>
      </c>
      <c r="E12" s="157">
        <v>0</v>
      </c>
      <c r="F12" s="289">
        <v>0</v>
      </c>
      <c r="G12" s="289">
        <v>0</v>
      </c>
      <c r="H12" s="290">
        <v>0</v>
      </c>
    </row>
    <row r="13" spans="1:8" s="46" customFormat="1" ht="14.25">
      <c r="A13" s="128" t="s">
        <v>74</v>
      </c>
      <c r="B13" s="153">
        <f>B8-SUM(B9:B12)</f>
        <v>19072</v>
      </c>
      <c r="C13" s="154">
        <f aca="true" t="shared" si="0" ref="C13:H13">C8-SUM(C9:C12)</f>
        <v>28486.600000000006</v>
      </c>
      <c r="D13" s="155">
        <f t="shared" si="0"/>
        <v>27124.600000000006</v>
      </c>
      <c r="E13" s="154">
        <f t="shared" si="0"/>
        <v>30007.50752523981</v>
      </c>
      <c r="F13" s="154">
        <f t="shared" si="0"/>
        <v>33420.53811627775</v>
      </c>
      <c r="G13" s="154">
        <f t="shared" si="0"/>
        <v>34855.60238305305</v>
      </c>
      <c r="H13" s="155">
        <f t="shared" si="0"/>
        <v>36599.050426546135</v>
      </c>
    </row>
    <row r="14" spans="1:8" s="46" customFormat="1" ht="15">
      <c r="A14" s="129" t="s">
        <v>75</v>
      </c>
      <c r="B14" s="156">
        <v>5000</v>
      </c>
      <c r="C14" s="157">
        <v>5000</v>
      </c>
      <c r="D14" s="158">
        <v>5000</v>
      </c>
      <c r="E14" s="145">
        <v>7250</v>
      </c>
      <c r="F14" s="150">
        <v>8500</v>
      </c>
      <c r="G14" s="150">
        <v>8375</v>
      </c>
      <c r="H14" s="151">
        <v>9187.5</v>
      </c>
    </row>
    <row r="15" spans="1:8" s="46" customFormat="1" ht="15" thickBot="1">
      <c r="A15" s="297" t="s">
        <v>76</v>
      </c>
      <c r="B15" s="298">
        <f>B13-B14</f>
        <v>14072</v>
      </c>
      <c r="C15" s="299">
        <f aca="true" t="shared" si="1" ref="C15:H15">C13-C14</f>
        <v>23486.600000000006</v>
      </c>
      <c r="D15" s="300">
        <f t="shared" si="1"/>
        <v>22124.600000000006</v>
      </c>
      <c r="E15" s="301">
        <f t="shared" si="1"/>
        <v>22757.50752523981</v>
      </c>
      <c r="F15" s="302">
        <f t="shared" si="1"/>
        <v>24920.53811627775</v>
      </c>
      <c r="G15" s="302">
        <f t="shared" si="1"/>
        <v>26480.602383053047</v>
      </c>
      <c r="H15" s="303">
        <f t="shared" si="1"/>
        <v>27411.550426546135</v>
      </c>
    </row>
    <row r="16" spans="1:8" s="46" customFormat="1" ht="19.5" thickBot="1">
      <c r="A16" s="123" t="s">
        <v>77</v>
      </c>
      <c r="B16" s="162"/>
      <c r="C16" s="162"/>
      <c r="D16" s="162"/>
      <c r="E16" s="163"/>
      <c r="F16" s="163"/>
      <c r="G16" s="163"/>
      <c r="H16" s="163"/>
    </row>
    <row r="17" spans="1:8" s="46" customFormat="1" ht="15">
      <c r="A17" s="125" t="s">
        <v>78</v>
      </c>
      <c r="B17" s="138">
        <v>0</v>
      </c>
      <c r="C17" s="139">
        <v>0</v>
      </c>
      <c r="D17" s="140">
        <v>12500</v>
      </c>
      <c r="E17" s="138">
        <v>0</v>
      </c>
      <c r="F17" s="139">
        <v>0</v>
      </c>
      <c r="G17" s="139">
        <v>0</v>
      </c>
      <c r="H17" s="140">
        <v>0</v>
      </c>
    </row>
    <row r="18" spans="1:8" s="46" customFormat="1" ht="15">
      <c r="A18" s="129" t="s">
        <v>79</v>
      </c>
      <c r="B18" s="156">
        <v>0</v>
      </c>
      <c r="C18" s="157">
        <v>0</v>
      </c>
      <c r="D18" s="158">
        <v>6293</v>
      </c>
      <c r="E18" s="156">
        <v>0</v>
      </c>
      <c r="F18" s="157">
        <v>0</v>
      </c>
      <c r="G18" s="157">
        <v>0</v>
      </c>
      <c r="H18" s="158">
        <v>0</v>
      </c>
    </row>
    <row r="19" spans="1:8" s="46" customFormat="1" ht="15">
      <c r="A19" s="131" t="s">
        <v>80</v>
      </c>
      <c r="B19" s="164">
        <f>Úvod!$D$41*Aktiva!B11</f>
        <v>330</v>
      </c>
      <c r="C19" s="21">
        <f>Úvod!$D$41*Aktiva!C11</f>
        <v>330</v>
      </c>
      <c r="D19" s="22">
        <f>Úvod!$D$41*Aktiva!D11</f>
        <v>630</v>
      </c>
      <c r="E19" s="164">
        <f>Úvod!$D$41*Aktiva!E11</f>
        <v>630</v>
      </c>
      <c r="F19" s="21">
        <f>Úvod!$D$41*Aktiva!F11</f>
        <v>630</v>
      </c>
      <c r="G19" s="21">
        <f>Úvod!$D$41*Aktiva!G11</f>
        <v>630</v>
      </c>
      <c r="H19" s="22">
        <f>Úvod!$D$41*Aktiva!H11</f>
        <v>630</v>
      </c>
    </row>
    <row r="20" spans="1:8" s="46" customFormat="1" ht="15">
      <c r="A20" s="127" t="s">
        <v>81</v>
      </c>
      <c r="B20" s="152">
        <f>Úvod!$D$42*Aktiva!B18</f>
        <v>100</v>
      </c>
      <c r="C20" s="34">
        <f>Úvod!$D$42*Aktiva!C18</f>
        <v>100</v>
      </c>
      <c r="D20" s="35">
        <f>Úvod!$D$42*Aktiva!D18</f>
        <v>100</v>
      </c>
      <c r="E20" s="152">
        <f>Úvod!$D$42*Aktiva!E18</f>
        <v>100</v>
      </c>
      <c r="F20" s="34">
        <f>Úvod!$D$42*Aktiva!F18</f>
        <v>100</v>
      </c>
      <c r="G20" s="34">
        <f>Úvod!$D$42*Aktiva!G18</f>
        <v>100</v>
      </c>
      <c r="H20" s="35">
        <f>Úvod!$D$42*Aktiva!H18</f>
        <v>100</v>
      </c>
    </row>
    <row r="21" spans="1:8" s="46" customFormat="1" ht="15" thickBot="1">
      <c r="A21" s="130" t="s">
        <v>82</v>
      </c>
      <c r="B21" s="159">
        <f>B17-B18+B19+B20</f>
        <v>430</v>
      </c>
      <c r="C21" s="160">
        <f aca="true" t="shared" si="2" ref="C21:H21">C17-C18+C19+C20</f>
        <v>430</v>
      </c>
      <c r="D21" s="161">
        <f t="shared" si="2"/>
        <v>6937</v>
      </c>
      <c r="E21" s="159">
        <f t="shared" si="2"/>
        <v>730</v>
      </c>
      <c r="F21" s="160">
        <f t="shared" si="2"/>
        <v>730</v>
      </c>
      <c r="G21" s="160">
        <f t="shared" si="2"/>
        <v>730</v>
      </c>
      <c r="H21" s="161">
        <f t="shared" si="2"/>
        <v>730</v>
      </c>
    </row>
    <row r="22" spans="1:8" s="46" customFormat="1" ht="19.5" thickBot="1">
      <c r="A22" s="123" t="s">
        <v>83</v>
      </c>
      <c r="B22" s="165"/>
      <c r="C22" s="165"/>
      <c r="D22" s="165"/>
      <c r="E22" s="165"/>
      <c r="F22" s="165"/>
      <c r="G22" s="165"/>
      <c r="H22" s="165"/>
    </row>
    <row r="23" spans="1:8" s="46" customFormat="1" ht="15">
      <c r="A23" s="132" t="s">
        <v>25</v>
      </c>
      <c r="B23" s="166">
        <f>Úvod!$D$43*Pasiva!B14+Úvod!$D$44*Pasiva!B15-500</f>
        <v>1680.65</v>
      </c>
      <c r="C23" s="167">
        <f>Úvod!$D$43*Pasiva!B14+Úvod!$D$44*Pasiva!B15</f>
        <v>2180.65</v>
      </c>
      <c r="D23" s="168">
        <f>Úvod!$D$43*Pasiva!C14+Úvod!$D$44*Pasiva!C15</f>
        <v>2457.3500000000004</v>
      </c>
      <c r="E23" s="169">
        <f>Úvod!$D$43*Pasiva!D14+Úvod!$D$44*Pasiva!D15</f>
        <v>2581.8</v>
      </c>
      <c r="F23" s="167">
        <f>Úvod!$D$43*Pasiva!E14+Úvod!$D$44*Pasiva!E15</f>
        <v>3181.8</v>
      </c>
      <c r="G23" s="167">
        <f>Úvod!$D$43*Pasiva!F14+Úvod!$D$44*Pasiva!F15</f>
        <v>2389.8</v>
      </c>
      <c r="H23" s="170">
        <f>Úvod!$D$43*Pasiva!G14+Úvod!$D$44*Pasiva!G15</f>
        <v>2889.8</v>
      </c>
    </row>
    <row r="24" spans="1:8" s="46" customFormat="1" ht="15.75" thickBot="1">
      <c r="A24" s="133" t="s">
        <v>84</v>
      </c>
      <c r="B24" s="171">
        <f aca="true" t="shared" si="3" ref="B24:H24">B2*(B15+B17-B18+B20-B23)</f>
        <v>2373.3565000000003</v>
      </c>
      <c r="C24" s="171">
        <f t="shared" si="3"/>
        <v>4067.1305000000007</v>
      </c>
      <c r="D24" s="172">
        <f t="shared" si="3"/>
        <v>4935.107500000002</v>
      </c>
      <c r="E24" s="173">
        <f t="shared" si="3"/>
        <v>4257.89858030036</v>
      </c>
      <c r="F24" s="171">
        <f t="shared" si="3"/>
        <v>4586.135004418327</v>
      </c>
      <c r="G24" s="171">
        <f t="shared" si="3"/>
        <v>5080.06850044114</v>
      </c>
      <c r="H24" s="174">
        <f t="shared" si="3"/>
        <v>5170.567589574688</v>
      </c>
    </row>
    <row r="25" spans="1:8" s="46" customFormat="1" ht="19.5" thickBot="1">
      <c r="A25" s="123" t="s">
        <v>85</v>
      </c>
      <c r="B25" s="175"/>
      <c r="C25" s="175"/>
      <c r="D25" s="175"/>
      <c r="E25" s="175"/>
      <c r="F25" s="175"/>
      <c r="G25" s="175"/>
      <c r="H25" s="175"/>
    </row>
    <row r="26" spans="1:8" s="46" customFormat="1" ht="14.25">
      <c r="A26" s="134" t="s">
        <v>26</v>
      </c>
      <c r="B26" s="176">
        <f>B15+B21-B23-B24</f>
        <v>10447.9935</v>
      </c>
      <c r="C26" s="176">
        <f aca="true" t="shared" si="4" ref="C26:H26">C15+C21-C23-C24</f>
        <v>17668.819500000005</v>
      </c>
      <c r="D26" s="177">
        <f t="shared" si="4"/>
        <v>21669.142500000005</v>
      </c>
      <c r="E26" s="178">
        <f t="shared" si="4"/>
        <v>16647.80894493945</v>
      </c>
      <c r="F26" s="176">
        <f t="shared" si="4"/>
        <v>17882.603111859422</v>
      </c>
      <c r="G26" s="176">
        <f t="shared" si="4"/>
        <v>19740.73388261191</v>
      </c>
      <c r="H26" s="179">
        <f t="shared" si="4"/>
        <v>20081.18283697145</v>
      </c>
    </row>
    <row r="27" spans="1:8" s="46" customFormat="1" ht="15">
      <c r="A27" s="135" t="s">
        <v>137</v>
      </c>
      <c r="B27" s="180">
        <v>6000</v>
      </c>
      <c r="C27" s="180">
        <v>7000</v>
      </c>
      <c r="D27" s="181">
        <v>7500</v>
      </c>
      <c r="E27" s="182">
        <v>8000</v>
      </c>
      <c r="F27" s="183">
        <v>8000</v>
      </c>
      <c r="G27" s="183">
        <v>8000</v>
      </c>
      <c r="H27" s="184">
        <v>8000</v>
      </c>
    </row>
    <row r="28" spans="1:8" s="46" customFormat="1" ht="15.75" thickBot="1">
      <c r="A28" s="136" t="s">
        <v>86</v>
      </c>
      <c r="B28" s="185">
        <f>B26-B27</f>
        <v>4447.9935000000005</v>
      </c>
      <c r="C28" s="185">
        <f aca="true" t="shared" si="5" ref="C28:H28">C26-C27</f>
        <v>10668.819500000005</v>
      </c>
      <c r="D28" s="186">
        <f t="shared" si="5"/>
        <v>14169.142500000005</v>
      </c>
      <c r="E28" s="187">
        <f t="shared" si="5"/>
        <v>8647.80894493945</v>
      </c>
      <c r="F28" s="188">
        <f t="shared" si="5"/>
        <v>9882.603111859422</v>
      </c>
      <c r="G28" s="188">
        <f t="shared" si="5"/>
        <v>11740.733882611908</v>
      </c>
      <c r="H28" s="189">
        <f t="shared" si="5"/>
        <v>12081.18283697145</v>
      </c>
    </row>
    <row r="29" spans="1:8" s="46" customFormat="1" ht="15.75">
      <c r="A29" s="121"/>
      <c r="B29" s="121"/>
      <c r="C29" s="121"/>
      <c r="D29" s="121"/>
      <c r="E29" s="122"/>
      <c r="F29" s="122"/>
      <c r="G29" s="122"/>
      <c r="H29" s="122"/>
    </row>
    <row r="30" spans="1:8" ht="18">
      <c r="A30" s="32" t="s">
        <v>15</v>
      </c>
      <c r="B30" s="2"/>
      <c r="C30" s="2"/>
      <c r="D30" s="2"/>
      <c r="E30" s="2"/>
      <c r="F30" s="2"/>
      <c r="G30" s="2"/>
      <c r="H30" s="2"/>
    </row>
  </sheetData>
  <sheetProtection/>
  <printOptions headings="1"/>
  <pageMargins left="0.3937007874015748" right="0.3937007874015748" top="0.984251968503937" bottom="0.984251968503937" header="0.5118110236220472" footer="0.5118110236220472"/>
  <pageSetup fitToHeight="1" fitToWidth="1" horizontalDpi="120" verticalDpi="120" orientation="portrait" paperSize="9" r:id="rId1"/>
  <headerFooter alignWithMargins="0">
    <oddHeader>&amp;C&amp;A</oddHeader>
    <oddFooter>&amp;LIOM - OP27&amp;CStrana &amp;P&amp;RMiloš Mařík, Pavla Maříková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0" customWidth="1"/>
    <col min="2" max="2" width="29.75390625" style="0" customWidth="1"/>
    <col min="3" max="8" width="8.125" style="0" customWidth="1"/>
    <col min="9" max="10" width="10.25390625" style="0" customWidth="1"/>
  </cols>
  <sheetData>
    <row r="1" spans="1:8" ht="16.5" thickBot="1">
      <c r="A1" s="11" t="s">
        <v>27</v>
      </c>
      <c r="B1" s="4"/>
      <c r="C1" s="4"/>
      <c r="D1" s="4"/>
      <c r="E1" s="4"/>
      <c r="F1" s="4"/>
      <c r="G1" s="4"/>
      <c r="H1" s="4"/>
    </row>
    <row r="2" spans="1:8" ht="16.5" thickBot="1">
      <c r="A2" s="203" t="s">
        <v>22</v>
      </c>
      <c r="B2" s="15"/>
      <c r="C2" s="204">
        <f>Aktiva!C3</f>
        <v>2022</v>
      </c>
      <c r="D2" s="205">
        <f>Aktiva!D3</f>
        <v>2023</v>
      </c>
      <c r="E2" s="211">
        <f>Aktiva!E3</f>
        <v>2024</v>
      </c>
      <c r="F2" s="206">
        <f>Aktiva!F3</f>
        <v>2025</v>
      </c>
      <c r="G2" s="206">
        <f>Aktiva!G3</f>
        <v>2026</v>
      </c>
      <c r="H2" s="207">
        <f>Aktiva!H3</f>
        <v>2027</v>
      </c>
    </row>
    <row r="3" spans="1:8" ht="15" thickBot="1">
      <c r="A3" s="208" t="s">
        <v>87</v>
      </c>
      <c r="B3" s="213"/>
      <c r="C3" s="212">
        <f>Aktiva!B20+Aktiva!B21</f>
        <v>5291.993499999982</v>
      </c>
      <c r="D3" s="210">
        <f>Aktiva!C20+Aktiva!C21</f>
        <v>23080.812999999995</v>
      </c>
      <c r="E3" s="212">
        <f>Aktiva!D20+Aktiva!D21</f>
        <v>34985.55549999999</v>
      </c>
      <c r="F3" s="209">
        <f>Aktiva!E20+Aktiva!E21</f>
        <v>10088.060680109753</v>
      </c>
      <c r="G3" s="209">
        <f>Aktiva!F20+Aktiva!F21</f>
        <v>11873.107765996727</v>
      </c>
      <c r="H3" s="210">
        <f>Aktiva!G20+Aktiva!G21</f>
        <v>9542.478072897931</v>
      </c>
    </row>
    <row r="4" spans="1:8" ht="26.25" customHeight="1" thickBot="1">
      <c r="A4" s="123" t="s">
        <v>88</v>
      </c>
      <c r="B4" s="124"/>
      <c r="C4" s="190"/>
      <c r="D4" s="190"/>
      <c r="E4" s="190"/>
      <c r="F4" s="190"/>
      <c r="G4" s="190"/>
      <c r="H4" s="190"/>
    </row>
    <row r="5" spans="1:8" ht="14.25">
      <c r="A5" s="214" t="s">
        <v>89</v>
      </c>
      <c r="B5" s="215"/>
      <c r="C5" s="223">
        <f>Výsledovka!C15</f>
        <v>23486.600000000006</v>
      </c>
      <c r="D5" s="224">
        <f>Výsledovka!D15</f>
        <v>22124.600000000006</v>
      </c>
      <c r="E5" s="223">
        <f>Výsledovka!E15</f>
        <v>22757.50752523981</v>
      </c>
      <c r="F5" s="231">
        <f>Výsledovka!F15</f>
        <v>24920.53811627775</v>
      </c>
      <c r="G5" s="231">
        <f>Výsledovka!G15</f>
        <v>26480.602383053047</v>
      </c>
      <c r="H5" s="224">
        <f>Výsledovka!H15</f>
        <v>27411.550426546135</v>
      </c>
    </row>
    <row r="6" spans="1:8" ht="15">
      <c r="A6" s="216" t="s">
        <v>90</v>
      </c>
      <c r="B6" s="217"/>
      <c r="C6" s="225">
        <f>C5*Výsledovka!C2</f>
        <v>4462.4540000000015</v>
      </c>
      <c r="D6" s="226">
        <f>D5*Výsledovka!D2</f>
        <v>4203.674000000001</v>
      </c>
      <c r="E6" s="225">
        <f>E5*Výsledovka!E2</f>
        <v>4779.07658030036</v>
      </c>
      <c r="F6" s="191">
        <f>F5*Výsledovka!F2</f>
        <v>5233.313004418327</v>
      </c>
      <c r="G6" s="191">
        <f>G5*Výsledovka!G2</f>
        <v>5560.92650044114</v>
      </c>
      <c r="H6" s="226">
        <f>H5*Výsledovka!H2</f>
        <v>5756.425589574688</v>
      </c>
    </row>
    <row r="7" spans="1:8" ht="14.25">
      <c r="A7" s="337" t="s">
        <v>91</v>
      </c>
      <c r="B7" s="338"/>
      <c r="C7" s="339">
        <f aca="true" t="shared" si="0" ref="C7:H7">C5-C6</f>
        <v>19024.146000000004</v>
      </c>
      <c r="D7" s="340">
        <f t="shared" si="0"/>
        <v>17920.926000000007</v>
      </c>
      <c r="E7" s="341">
        <f t="shared" si="0"/>
        <v>17978.43094493945</v>
      </c>
      <c r="F7" s="342">
        <f t="shared" si="0"/>
        <v>19687.22511185942</v>
      </c>
      <c r="G7" s="342">
        <f t="shared" si="0"/>
        <v>20919.675882611908</v>
      </c>
      <c r="H7" s="340">
        <f t="shared" si="0"/>
        <v>21655.124836971445</v>
      </c>
    </row>
    <row r="8" spans="1:8" ht="15">
      <c r="A8" s="218" t="s">
        <v>23</v>
      </c>
      <c r="B8" s="219"/>
      <c r="C8" s="227">
        <f>Výsledovka!C14</f>
        <v>5000</v>
      </c>
      <c r="D8" s="228">
        <f>Výsledovka!D14</f>
        <v>5000</v>
      </c>
      <c r="E8" s="227">
        <f>Výsledovka!E14</f>
        <v>7250</v>
      </c>
      <c r="F8" s="192">
        <f>Výsledovka!F14</f>
        <v>8500</v>
      </c>
      <c r="G8" s="192">
        <f>Výsledovka!G14</f>
        <v>8375</v>
      </c>
      <c r="H8" s="228">
        <f>Výsledovka!H14</f>
        <v>9187.5</v>
      </c>
    </row>
    <row r="9" spans="1:8" ht="15">
      <c r="A9" s="218" t="s">
        <v>28</v>
      </c>
      <c r="B9" s="219"/>
      <c r="C9" s="227">
        <f>Výsledovka!C12</f>
        <v>1000</v>
      </c>
      <c r="D9" s="228">
        <f>Výsledovka!D12</f>
        <v>-1200</v>
      </c>
      <c r="E9" s="227">
        <f>-Výsledovka!E12</f>
        <v>0</v>
      </c>
      <c r="F9" s="192">
        <f>-Výsledovka!F12</f>
        <v>0</v>
      </c>
      <c r="G9" s="192">
        <f>-Výsledovka!G12</f>
        <v>0</v>
      </c>
      <c r="H9" s="228">
        <f>-Výsledovka!H12</f>
        <v>0</v>
      </c>
    </row>
    <row r="10" spans="1:8" ht="15">
      <c r="A10" s="216" t="s">
        <v>92</v>
      </c>
      <c r="B10" s="220"/>
      <c r="C10" s="225">
        <f>-(Aktiva!C13-Aktiva!B13+Aktiva!C17-Aktiva!B17+Aktiva!C22-Aktiva!B22-(Pasiva!C16+Pasiva!C17-Pasiva!B16-Pasiva!B17))</f>
        <v>-5472</v>
      </c>
      <c r="D10" s="226">
        <f>-(Aktiva!D13-Aktiva!C13+Aktiva!D17-Aktiva!C17+Aktiva!D22-Aktiva!C22-(Pasiva!D16+Pasiva!D17-Pasiva!C16-Pasiva!C17))</f>
        <v>-5346.4000000000015</v>
      </c>
      <c r="E10" s="225">
        <f>-(Aktiva!E13-Aktiva!D13+Aktiva!E17-Aktiva!D17+Aktiva!E22-Aktiva!D22-(Pasiva!E16+Pasiva!E17-Pasiva!D16-Pasiva!D17))</f>
        <v>-3295.303764829696</v>
      </c>
      <c r="F10" s="191">
        <f>-(Aktiva!F13-Aktiva!E13+Aktiva!F17-Aktiva!E17+Aktiva!F22-Aktiva!E22-(Pasiva!F16+Pasiva!F17-Pasiva!E16-Pasiva!E17))</f>
        <v>-3397.556025972437</v>
      </c>
      <c r="G10" s="191">
        <f>-(Aktiva!G13-Aktiva!F13+Aktiva!G17-Aktiva!F17+Aktiva!G22-Aktiva!F22-(Pasiva!G16+Pasiva!G17-Pasiva!F16-Pasiva!F17))</f>
        <v>-2446.363575710704</v>
      </c>
      <c r="H10" s="226">
        <f>-(Aktiva!H13-Aktiva!G13+Aktiva!H17-Aktiva!G17+Aktiva!H22-Aktiva!G22-(Pasiva!H16+Pasiva!H17-Pasiva!G16-Pasiva!G17))</f>
        <v>-1727.2347228121507</v>
      </c>
    </row>
    <row r="11" spans="1:8" ht="14.25">
      <c r="A11" s="221" t="s">
        <v>93</v>
      </c>
      <c r="B11" s="222"/>
      <c r="C11" s="229">
        <f aca="true" t="shared" si="1" ref="C11:H11">SUM(C7:C10)</f>
        <v>19552.146000000004</v>
      </c>
      <c r="D11" s="230">
        <f t="shared" si="1"/>
        <v>16374.526000000005</v>
      </c>
      <c r="E11" s="232">
        <f t="shared" si="1"/>
        <v>21933.127180109754</v>
      </c>
      <c r="F11" s="193">
        <f t="shared" si="1"/>
        <v>24789.669085886984</v>
      </c>
      <c r="G11" s="193">
        <f t="shared" si="1"/>
        <v>26848.312306901204</v>
      </c>
      <c r="H11" s="230">
        <f t="shared" si="1"/>
        <v>29115.390114159294</v>
      </c>
    </row>
    <row r="12" spans="1:8" ht="14.25">
      <c r="A12" s="221" t="s">
        <v>94</v>
      </c>
      <c r="B12" s="222"/>
      <c r="C12" s="229">
        <f>-(Aktiva!C7-Aktiva!B7+Aktiva!C9-Aktiva!B9+Aktiva!C10-Aktiva!B10+Výsledovka!C14)</f>
        <v>0</v>
      </c>
      <c r="D12" s="230">
        <f>-(Aktiva!D7-Aktiva!C7+Aktiva!D9-Aktiva!C9+Aktiva!D10-Aktiva!C10+Výsledovka!D14)</f>
        <v>0</v>
      </c>
      <c r="E12" s="233">
        <f>-(Aktiva!E7-Aktiva!D7+Aktiva!E9-Aktiva!D9+Aktiva!E10-Aktiva!D10+Výsledovka!E14)</f>
        <v>-50000</v>
      </c>
      <c r="F12" s="194">
        <f>-(Aktiva!F7-Aktiva!E7+Aktiva!F9-Aktiva!E9+Aktiva!F10-Aktiva!E10+Výsledovka!F14)</f>
        <v>0</v>
      </c>
      <c r="G12" s="194">
        <f>-(Aktiva!G7-Aktiva!F7+Aktiva!G9-Aktiva!F9+Aktiva!G10-Aktiva!F10+Výsledovka!G14)</f>
        <v>-30000</v>
      </c>
      <c r="H12" s="234">
        <f>-(Aktiva!H7-Aktiva!G7+Aktiva!H9-Aktiva!G9+Aktiva!H10-Aktiva!G10+Výsledovka!H14)</f>
        <v>-15000</v>
      </c>
    </row>
    <row r="13" spans="1:8" ht="15" thickBot="1">
      <c r="A13" s="304" t="s">
        <v>95</v>
      </c>
      <c r="B13" s="305"/>
      <c r="C13" s="306">
        <f aca="true" t="shared" si="2" ref="C13:H13">C11+C12</f>
        <v>19552.146000000004</v>
      </c>
      <c r="D13" s="307">
        <f t="shared" si="2"/>
        <v>16374.526000000005</v>
      </c>
      <c r="E13" s="306">
        <f t="shared" si="2"/>
        <v>-28066.872819890246</v>
      </c>
      <c r="F13" s="308">
        <f t="shared" si="2"/>
        <v>24789.669085886984</v>
      </c>
      <c r="G13" s="308">
        <f t="shared" si="2"/>
        <v>-3151.6876930987964</v>
      </c>
      <c r="H13" s="307">
        <f t="shared" si="2"/>
        <v>14115.390114159294</v>
      </c>
    </row>
    <row r="14" spans="1:8" ht="26.25" customHeight="1" thickBot="1">
      <c r="A14" s="123" t="s">
        <v>96</v>
      </c>
      <c r="B14" s="42"/>
      <c r="C14" s="195"/>
      <c r="D14" s="196"/>
      <c r="E14" s="196"/>
      <c r="F14" s="196"/>
      <c r="G14" s="175"/>
      <c r="H14" s="175"/>
    </row>
    <row r="15" spans="1:8" ht="15">
      <c r="A15" s="235" t="s">
        <v>24</v>
      </c>
      <c r="B15" s="236"/>
      <c r="C15" s="242">
        <f>Výsledovka!C19+Výsledovka!C20</f>
        <v>430</v>
      </c>
      <c r="D15" s="243">
        <f>Výsledovka!D19+Výsledovka!D20</f>
        <v>730</v>
      </c>
      <c r="E15" s="242">
        <f>Výsledovka!E19+Výsledovka!E20</f>
        <v>730</v>
      </c>
      <c r="F15" s="247">
        <f>Výsledovka!F19+Výsledovka!F20</f>
        <v>730</v>
      </c>
      <c r="G15" s="247">
        <f>Výsledovka!G19+Výsledovka!G20</f>
        <v>730</v>
      </c>
      <c r="H15" s="243">
        <f>Výsledovka!H19+Výsledovka!H20</f>
        <v>730</v>
      </c>
    </row>
    <row r="16" spans="1:8" ht="15">
      <c r="A16" s="237" t="s">
        <v>97</v>
      </c>
      <c r="B16" s="47"/>
      <c r="C16" s="141">
        <f>Výsledovka!C17</f>
        <v>0</v>
      </c>
      <c r="D16" s="41">
        <f>Výsledovka!D17</f>
        <v>12500</v>
      </c>
      <c r="E16" s="141">
        <f>Výsledovka!E17</f>
        <v>0</v>
      </c>
      <c r="F16" s="142">
        <f>Výsledovka!F17</f>
        <v>0</v>
      </c>
      <c r="G16" s="142">
        <f>Výsledovka!G17</f>
        <v>0</v>
      </c>
      <c r="H16" s="41">
        <f>Výsledovka!H17</f>
        <v>0</v>
      </c>
    </row>
    <row r="17" spans="1:8" ht="15">
      <c r="A17" s="238" t="s">
        <v>98</v>
      </c>
      <c r="B17" s="239"/>
      <c r="C17" s="143">
        <f>-(Aktiva!C8-Aktiva!B8+Aktiva!C11-Aktiva!B11+Výsledovka!C18)</f>
        <v>-9942</v>
      </c>
      <c r="D17" s="244">
        <f>-(Aktiva!D8-Aktiva!C8+Aktiva!D11-Aktiva!C11+Výsledovka!D18)</f>
        <v>-10000</v>
      </c>
      <c r="E17" s="143">
        <f>-(Aktiva!E8-Aktiva!D8+Aktiva!E11-Aktiva!D11+Výsledovka!E18)</f>
        <v>0</v>
      </c>
      <c r="F17" s="198">
        <f>-(Aktiva!F8-Aktiva!E8+Aktiva!F11-Aktiva!E11+Výsledovka!F18)</f>
        <v>0</v>
      </c>
      <c r="G17" s="198">
        <f>-(Aktiva!G8-Aktiva!F8+Aktiva!G11-Aktiva!F11+Výsledovka!G18)</f>
        <v>0</v>
      </c>
      <c r="H17" s="244">
        <f>-(Aktiva!H8-Aktiva!G8+Aktiva!H11-Aktiva!G11+Výsledovka!H18)</f>
        <v>0</v>
      </c>
    </row>
    <row r="18" spans="1:8" ht="15" thickBot="1">
      <c r="A18" s="240" t="s">
        <v>99</v>
      </c>
      <c r="B18" s="241"/>
      <c r="C18" s="245">
        <f aca="true" t="shared" si="3" ref="C18:H18">SUM(C15:C17)</f>
        <v>-9512</v>
      </c>
      <c r="D18" s="246">
        <f t="shared" si="3"/>
        <v>3230</v>
      </c>
      <c r="E18" s="245">
        <f t="shared" si="3"/>
        <v>730</v>
      </c>
      <c r="F18" s="248">
        <f t="shared" si="3"/>
        <v>730</v>
      </c>
      <c r="G18" s="248">
        <f t="shared" si="3"/>
        <v>730</v>
      </c>
      <c r="H18" s="246">
        <f t="shared" si="3"/>
        <v>730</v>
      </c>
    </row>
    <row r="19" spans="1:8" ht="26.25" customHeight="1" thickBot="1">
      <c r="A19" s="123" t="s">
        <v>100</v>
      </c>
      <c r="B19" s="42"/>
      <c r="C19" s="199"/>
      <c r="D19" s="199"/>
      <c r="E19" s="199"/>
      <c r="F19" s="199"/>
      <c r="G19" s="199"/>
      <c r="H19" s="199"/>
    </row>
    <row r="20" spans="1:8" ht="15">
      <c r="A20" s="235" t="s">
        <v>25</v>
      </c>
      <c r="B20" s="236"/>
      <c r="C20" s="242">
        <f>-Výsledovka!C23</f>
        <v>-2180.65</v>
      </c>
      <c r="D20" s="243">
        <f>-Výsledovka!D23</f>
        <v>-2457.3500000000004</v>
      </c>
      <c r="E20" s="242">
        <f>-Výsledovka!E23</f>
        <v>-2581.8</v>
      </c>
      <c r="F20" s="247">
        <f>-Výsledovka!F23</f>
        <v>-3181.8</v>
      </c>
      <c r="G20" s="247">
        <f>-Výsledovka!G23</f>
        <v>-2389.8</v>
      </c>
      <c r="H20" s="243">
        <f>-Výsledovka!H23</f>
        <v>-2889.8</v>
      </c>
    </row>
    <row r="21" spans="1:8" ht="15">
      <c r="A21" s="249" t="s">
        <v>138</v>
      </c>
      <c r="B21" s="250"/>
      <c r="C21" s="251">
        <f>C6-Výsledovka!C24</f>
        <v>395.3235000000009</v>
      </c>
      <c r="D21" s="252">
        <f>D6-Výsledovka!D24</f>
        <v>-731.433500000001</v>
      </c>
      <c r="E21" s="251">
        <f>E6-Výsledovka!E24</f>
        <v>521.1779999999999</v>
      </c>
      <c r="F21" s="197">
        <f>F6-Výsledovka!F24</f>
        <v>647.1779999999999</v>
      </c>
      <c r="G21" s="197">
        <f>G6-Výsledovka!G24</f>
        <v>480.8580000000002</v>
      </c>
      <c r="H21" s="252">
        <f>H6-Výsledovka!H24</f>
        <v>585.8580000000002</v>
      </c>
    </row>
    <row r="22" spans="1:8" ht="15">
      <c r="A22" s="237" t="s">
        <v>101</v>
      </c>
      <c r="B22" s="47"/>
      <c r="C22" s="141">
        <v>5534</v>
      </c>
      <c r="D22" s="41">
        <v>2489</v>
      </c>
      <c r="E22" s="141">
        <v>12000</v>
      </c>
      <c r="F22" s="142">
        <v>0</v>
      </c>
      <c r="G22" s="142">
        <v>10000</v>
      </c>
      <c r="H22" s="41">
        <v>30000</v>
      </c>
    </row>
    <row r="23" spans="1:8" ht="15">
      <c r="A23" s="238" t="s">
        <v>102</v>
      </c>
      <c r="B23" s="239"/>
      <c r="C23" s="143">
        <v>0</v>
      </c>
      <c r="D23" s="244">
        <v>0</v>
      </c>
      <c r="E23" s="143">
        <v>0</v>
      </c>
      <c r="F23" s="198">
        <v>-13200</v>
      </c>
      <c r="G23" s="198">
        <v>0</v>
      </c>
      <c r="H23" s="244">
        <v>-35796</v>
      </c>
    </row>
    <row r="24" spans="1:8" ht="15">
      <c r="A24" s="237" t="s">
        <v>103</v>
      </c>
      <c r="B24" s="47"/>
      <c r="C24" s="141">
        <f>(Pasiva!C6-Pasiva!B6+Pasiva!C7-Pasiva!B7)</f>
        <v>10000</v>
      </c>
      <c r="D24" s="41">
        <f>(Pasiva!D6-Pasiva!C6+Pasiva!D7-Pasiva!C7)</f>
        <v>0</v>
      </c>
      <c r="E24" s="141">
        <f>(Pasiva!E6-Pasiva!D6+Pasiva!E7-Pasiva!D7)</f>
        <v>0</v>
      </c>
      <c r="F24" s="142">
        <f>(Pasiva!F6-Pasiva!E6+Pasiva!F7-Pasiva!E7)</f>
        <v>0</v>
      </c>
      <c r="G24" s="142">
        <f>(Pasiva!G6-Pasiva!F6+Pasiva!G7-Pasiva!F7)</f>
        <v>0</v>
      </c>
      <c r="H24" s="41">
        <f>(Pasiva!H6-Pasiva!G6+Pasiva!H7-Pasiva!G7)</f>
        <v>0</v>
      </c>
    </row>
    <row r="25" spans="1:8" ht="15">
      <c r="A25" s="238" t="s">
        <v>104</v>
      </c>
      <c r="B25" s="239"/>
      <c r="C25" s="143">
        <f>-Výsledovka!B27</f>
        <v>-6000</v>
      </c>
      <c r="D25" s="244">
        <f>-Výsledovka!C27</f>
        <v>-7000</v>
      </c>
      <c r="E25" s="143">
        <f>-Výsledovka!D27</f>
        <v>-7500</v>
      </c>
      <c r="F25" s="198">
        <f>-Výsledovka!E27</f>
        <v>-8000</v>
      </c>
      <c r="G25" s="198">
        <f>-Výsledovka!F27</f>
        <v>-8000</v>
      </c>
      <c r="H25" s="244">
        <f>-Výsledovka!G27</f>
        <v>-8000</v>
      </c>
    </row>
    <row r="26" spans="1:8" ht="15" thickBot="1">
      <c r="A26" s="240" t="s">
        <v>105</v>
      </c>
      <c r="B26" s="241"/>
      <c r="C26" s="245">
        <f aca="true" t="shared" si="4" ref="C26:H26">SUM(C20:C25)</f>
        <v>7748.673500000001</v>
      </c>
      <c r="D26" s="246">
        <f t="shared" si="4"/>
        <v>-7699.783500000001</v>
      </c>
      <c r="E26" s="245">
        <f t="shared" si="4"/>
        <v>2439.3780000000006</v>
      </c>
      <c r="F26" s="248">
        <f t="shared" si="4"/>
        <v>-23734.622</v>
      </c>
      <c r="G26" s="248">
        <f t="shared" si="4"/>
        <v>91.05799999999999</v>
      </c>
      <c r="H26" s="246">
        <f t="shared" si="4"/>
        <v>-16099.942</v>
      </c>
    </row>
    <row r="27" spans="1:8" ht="23.25" customHeight="1" thickBot="1">
      <c r="A27" s="123" t="s">
        <v>106</v>
      </c>
      <c r="B27" s="137"/>
      <c r="C27" s="200"/>
      <c r="D27" s="200"/>
      <c r="E27" s="200"/>
      <c r="F27" s="200"/>
      <c r="G27" s="200"/>
      <c r="H27" s="200"/>
    </row>
    <row r="28" spans="1:8" ht="15" thickBot="1">
      <c r="A28" s="253" t="s">
        <v>107</v>
      </c>
      <c r="B28" s="254"/>
      <c r="C28" s="255">
        <f aca="true" t="shared" si="5" ref="C28:H28">C13+C18+C26</f>
        <v>17788.819500000005</v>
      </c>
      <c r="D28" s="256">
        <f t="shared" si="5"/>
        <v>11904.742500000004</v>
      </c>
      <c r="E28" s="255">
        <f t="shared" si="5"/>
        <v>-24897.494819890246</v>
      </c>
      <c r="F28" s="257">
        <f t="shared" si="5"/>
        <v>1785.0470858869849</v>
      </c>
      <c r="G28" s="257">
        <f t="shared" si="5"/>
        <v>-2330.6296930987965</v>
      </c>
      <c r="H28" s="256">
        <f t="shared" si="5"/>
        <v>-1254.551885840705</v>
      </c>
    </row>
    <row r="29" spans="1:8" ht="16.5" thickBot="1">
      <c r="A29" s="40"/>
      <c r="B29" s="40"/>
      <c r="C29" s="201"/>
      <c r="D29" s="201"/>
      <c r="E29" s="201"/>
      <c r="F29" s="202"/>
      <c r="G29" s="175"/>
      <c r="H29" s="175"/>
    </row>
    <row r="30" spans="1:8" ht="15" thickBot="1">
      <c r="A30" s="208" t="s">
        <v>108</v>
      </c>
      <c r="B30" s="213"/>
      <c r="C30" s="258">
        <f aca="true" t="shared" si="6" ref="C30:H30">C3+C28</f>
        <v>23080.812999999987</v>
      </c>
      <c r="D30" s="210">
        <f t="shared" si="6"/>
        <v>34985.5555</v>
      </c>
      <c r="E30" s="258">
        <f t="shared" si="6"/>
        <v>10088.060680109742</v>
      </c>
      <c r="F30" s="209">
        <f t="shared" si="6"/>
        <v>11873.107765996738</v>
      </c>
      <c r="G30" s="209">
        <f t="shared" si="6"/>
        <v>9542.478072897931</v>
      </c>
      <c r="H30" s="210">
        <f t="shared" si="6"/>
        <v>8287.926187057226</v>
      </c>
    </row>
    <row r="32" spans="1:8" ht="18">
      <c r="A32" s="32" t="s">
        <v>15</v>
      </c>
      <c r="B32" s="2"/>
      <c r="C32" s="2"/>
      <c r="D32" s="2"/>
      <c r="E32" s="2"/>
      <c r="F32" s="2"/>
      <c r="G32" s="2"/>
      <c r="H32" s="2"/>
    </row>
  </sheetData>
  <sheetProtection/>
  <printOptions headings="1"/>
  <pageMargins left="0.3937007874015748" right="0.3937007874015748" top="0.984251968503937" bottom="0.984251968503937" header="0.5118110236220472" footer="0.5118110236220472"/>
  <pageSetup fitToHeight="1" fitToWidth="1" horizontalDpi="120" verticalDpi="120" orientation="portrait" paperSize="9" r:id="rId1"/>
  <headerFooter alignWithMargins="0">
    <oddHeader>&amp;C&amp;A</oddHeader>
    <oddFooter>&amp;LIOM - OP27&amp;CStrana &amp;P&amp;RMiloš Mařík, Pavla Maříková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4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4.125" style="0" customWidth="1"/>
    <col min="2" max="8" width="8.625" style="0" customWidth="1"/>
    <col min="9" max="9" width="9.375" style="0" customWidth="1"/>
    <col min="10" max="10" width="10.25390625" style="0" customWidth="1"/>
  </cols>
  <sheetData>
    <row r="1" spans="1:8" ht="15.75">
      <c r="A1" s="11" t="s">
        <v>29</v>
      </c>
      <c r="B1" s="4"/>
      <c r="C1" s="4"/>
      <c r="D1" s="4"/>
      <c r="E1" s="4"/>
      <c r="F1" s="4"/>
      <c r="G1" s="4"/>
      <c r="H1" s="4"/>
    </row>
    <row r="2" spans="1:8" ht="11.25" customHeight="1">
      <c r="A2" s="4"/>
      <c r="B2" s="4"/>
      <c r="C2" s="4"/>
      <c r="D2" s="4"/>
      <c r="E2" s="4"/>
      <c r="F2" s="4"/>
      <c r="G2" s="4"/>
      <c r="H2" s="4"/>
    </row>
    <row r="3" spans="1:8" ht="21.75" customHeight="1">
      <c r="A3" s="278" t="s">
        <v>30</v>
      </c>
      <c r="B3" s="4"/>
      <c r="C3" s="4"/>
      <c r="D3" s="4"/>
      <c r="E3" s="4"/>
      <c r="F3" s="4"/>
      <c r="G3" s="4"/>
      <c r="H3" s="4"/>
    </row>
    <row r="4" spans="1:8" ht="15.75" customHeight="1">
      <c r="A4" s="116" t="s">
        <v>31</v>
      </c>
      <c r="B4" s="345" t="s">
        <v>68</v>
      </c>
      <c r="D4" s="346">
        <v>20000</v>
      </c>
      <c r="E4" s="117" t="s">
        <v>69</v>
      </c>
      <c r="F4" s="4"/>
      <c r="G4" s="4"/>
      <c r="H4" s="4"/>
    </row>
    <row r="5" spans="1:8" ht="15.75" customHeight="1">
      <c r="A5" s="116"/>
      <c r="B5" s="345" t="s">
        <v>173</v>
      </c>
      <c r="C5" s="347"/>
      <c r="D5" s="345"/>
      <c r="E5" s="4"/>
      <c r="F5" s="4"/>
      <c r="G5" s="4"/>
      <c r="H5" s="4"/>
    </row>
    <row r="6" spans="1:8" ht="15.75" customHeight="1">
      <c r="A6" s="116"/>
      <c r="B6" s="345" t="s">
        <v>32</v>
      </c>
      <c r="C6" s="347"/>
      <c r="D6" s="345"/>
      <c r="E6" s="4"/>
      <c r="F6" s="4"/>
      <c r="G6" s="4"/>
      <c r="H6" s="4"/>
    </row>
    <row r="7" spans="1:8" ht="15.75" customHeight="1">
      <c r="A7" s="116"/>
      <c r="B7" s="345" t="s">
        <v>117</v>
      </c>
      <c r="D7" s="346">
        <v>8000</v>
      </c>
      <c r="E7" s="117" t="s">
        <v>69</v>
      </c>
      <c r="F7" s="4"/>
      <c r="G7" s="4"/>
      <c r="H7" s="4"/>
    </row>
    <row r="8" spans="1:8" ht="15.75" customHeight="1">
      <c r="A8" s="116"/>
      <c r="B8" s="117" t="s">
        <v>67</v>
      </c>
      <c r="C8" s="40"/>
      <c r="D8" s="40"/>
      <c r="E8" s="4"/>
      <c r="F8" s="4"/>
      <c r="G8" s="4"/>
      <c r="H8" s="4"/>
    </row>
    <row r="9" spans="1:9" ht="15.75">
      <c r="A9" s="40"/>
      <c r="B9" s="40"/>
      <c r="C9" s="40"/>
      <c r="D9" s="40"/>
      <c r="E9" s="40"/>
      <c r="F9" s="40"/>
      <c r="G9" s="40"/>
      <c r="H9" s="40"/>
      <c r="I9" s="284"/>
    </row>
    <row r="10" spans="1:9" ht="15.75">
      <c r="A10" s="48" t="s">
        <v>33</v>
      </c>
      <c r="B10" s="48">
        <f>Aktiva!B3</f>
        <v>2021</v>
      </c>
      <c r="C10" s="48">
        <f>Aktiva!C3</f>
        <v>2022</v>
      </c>
      <c r="D10" s="48">
        <f>Aktiva!D3</f>
        <v>2023</v>
      </c>
      <c r="E10" s="49">
        <f>Aktiva!E3</f>
        <v>2024</v>
      </c>
      <c r="F10" s="49">
        <f>Aktiva!F3</f>
        <v>2025</v>
      </c>
      <c r="G10" s="49">
        <f>Aktiva!G3</f>
        <v>2026</v>
      </c>
      <c r="H10" s="49">
        <f>Aktiva!H3</f>
        <v>2027</v>
      </c>
      <c r="I10" s="46"/>
    </row>
    <row r="11" spans="1:9" ht="15">
      <c r="A11" s="50" t="s">
        <v>34</v>
      </c>
      <c r="B11" s="51"/>
      <c r="C11" s="51"/>
      <c r="D11" s="51"/>
      <c r="E11" s="51"/>
      <c r="F11" s="51"/>
      <c r="G11" s="51"/>
      <c r="H11" s="51"/>
      <c r="I11" s="46"/>
    </row>
    <row r="12" spans="1:177" ht="15">
      <c r="A12" s="52" t="s">
        <v>35</v>
      </c>
      <c r="B12" s="53"/>
      <c r="C12" s="53"/>
      <c r="D12" s="53"/>
      <c r="E12" s="53"/>
      <c r="F12" s="53"/>
      <c r="G12" s="53"/>
      <c r="H12" s="53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</row>
    <row r="13" spans="1:177" ht="15.75">
      <c r="A13" s="54" t="s">
        <v>36</v>
      </c>
      <c r="B13" s="55"/>
      <c r="C13" s="55"/>
      <c r="D13" s="55"/>
      <c r="E13" s="55"/>
      <c r="F13" s="55"/>
      <c r="G13" s="55"/>
      <c r="H13" s="5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5"/>
      <c r="DU13" s="285"/>
      <c r="DV13" s="285"/>
      <c r="DW13" s="285"/>
      <c r="DX13" s="285"/>
      <c r="DY13" s="285"/>
      <c r="DZ13" s="285"/>
      <c r="EA13" s="285"/>
      <c r="EB13" s="285"/>
      <c r="EC13" s="285"/>
      <c r="ED13" s="285"/>
      <c r="EE13" s="285"/>
      <c r="EF13" s="285"/>
      <c r="EG13" s="285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5"/>
      <c r="EW13" s="285"/>
      <c r="EX13" s="285"/>
      <c r="EY13" s="285"/>
      <c r="EZ13" s="285"/>
      <c r="FA13" s="285"/>
      <c r="FB13" s="285"/>
      <c r="FC13" s="285"/>
      <c r="FD13" s="285"/>
      <c r="FE13" s="285"/>
      <c r="FF13" s="285"/>
      <c r="FG13" s="285"/>
      <c r="FH13" s="285"/>
      <c r="FI13" s="285"/>
      <c r="FJ13" s="285"/>
      <c r="FK13" s="285"/>
      <c r="FL13" s="285"/>
      <c r="FM13" s="285"/>
      <c r="FN13" s="285"/>
      <c r="FO13" s="285"/>
      <c r="FP13" s="285"/>
      <c r="FQ13" s="285"/>
      <c r="FR13" s="285"/>
      <c r="FS13" s="285"/>
      <c r="FT13" s="285"/>
      <c r="FU13" s="285"/>
    </row>
    <row r="14" spans="1:177" ht="15.75">
      <c r="A14" s="56"/>
      <c r="B14" s="40"/>
      <c r="C14" s="40"/>
      <c r="D14" s="40"/>
      <c r="E14" s="40"/>
      <c r="F14" s="40"/>
      <c r="G14" s="40"/>
      <c r="H14" s="40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6"/>
      <c r="DH14" s="286"/>
      <c r="DI14" s="286"/>
      <c r="DJ14" s="286"/>
      <c r="DK14" s="286"/>
      <c r="DL14" s="286"/>
      <c r="DM14" s="286"/>
      <c r="DN14" s="286"/>
      <c r="DO14" s="286"/>
      <c r="DP14" s="286"/>
      <c r="DQ14" s="286"/>
      <c r="DR14" s="286"/>
      <c r="DS14" s="286"/>
      <c r="DT14" s="286"/>
      <c r="DU14" s="286"/>
      <c r="DV14" s="286"/>
      <c r="DW14" s="286"/>
      <c r="DX14" s="286"/>
      <c r="DY14" s="286"/>
      <c r="DZ14" s="286"/>
      <c r="EA14" s="286"/>
      <c r="EB14" s="286"/>
      <c r="EC14" s="286"/>
      <c r="ED14" s="286"/>
      <c r="EE14" s="286"/>
      <c r="EF14" s="286"/>
      <c r="EG14" s="286"/>
      <c r="EH14" s="286"/>
      <c r="EI14" s="286"/>
      <c r="EJ14" s="286"/>
      <c r="EK14" s="286"/>
      <c r="EL14" s="286"/>
      <c r="EM14" s="286"/>
      <c r="EN14" s="286"/>
      <c r="EO14" s="286"/>
      <c r="EP14" s="286"/>
      <c r="EQ14" s="286"/>
      <c r="ER14" s="286"/>
      <c r="ES14" s="286"/>
      <c r="ET14" s="286"/>
      <c r="EU14" s="286"/>
      <c r="EV14" s="286"/>
      <c r="EW14" s="286"/>
      <c r="EX14" s="286"/>
      <c r="EY14" s="286"/>
      <c r="EZ14" s="286"/>
      <c r="FA14" s="286"/>
      <c r="FB14" s="286"/>
      <c r="FC14" s="286"/>
      <c r="FD14" s="286"/>
      <c r="FE14" s="286"/>
      <c r="FF14" s="286"/>
      <c r="FG14" s="286"/>
      <c r="FH14" s="286"/>
      <c r="FI14" s="286"/>
      <c r="FJ14" s="286"/>
      <c r="FK14" s="286"/>
      <c r="FL14" s="286"/>
      <c r="FM14" s="286"/>
      <c r="FN14" s="286"/>
      <c r="FO14" s="286"/>
      <c r="FP14" s="286"/>
      <c r="FQ14" s="286"/>
      <c r="FR14" s="286"/>
      <c r="FS14" s="286"/>
      <c r="FT14" s="286"/>
      <c r="FU14" s="286"/>
    </row>
    <row r="15" spans="1:177" ht="15.75">
      <c r="A15" s="262" t="s">
        <v>111</v>
      </c>
      <c r="B15" s="263"/>
      <c r="C15" s="263"/>
      <c r="D15" s="263"/>
      <c r="E15" s="263"/>
      <c r="F15" s="263"/>
      <c r="G15" s="263"/>
      <c r="H15" s="263"/>
      <c r="I15" s="294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  <c r="DF15" s="285"/>
      <c r="DG15" s="285"/>
      <c r="DH15" s="285"/>
      <c r="DI15" s="285"/>
      <c r="DJ15" s="285"/>
      <c r="DK15" s="285"/>
      <c r="DL15" s="285"/>
      <c r="DM15" s="285"/>
      <c r="DN15" s="285"/>
      <c r="DO15" s="285"/>
      <c r="DP15" s="285"/>
      <c r="DQ15" s="285"/>
      <c r="DR15" s="285"/>
      <c r="DS15" s="285"/>
      <c r="DT15" s="285"/>
      <c r="DU15" s="285"/>
      <c r="DV15" s="285"/>
      <c r="DW15" s="285"/>
      <c r="DX15" s="285"/>
      <c r="DY15" s="285"/>
      <c r="DZ15" s="285"/>
      <c r="EA15" s="285"/>
      <c r="EB15" s="285"/>
      <c r="EC15" s="285"/>
      <c r="ED15" s="285"/>
      <c r="EE15" s="285"/>
      <c r="EF15" s="285"/>
      <c r="EG15" s="285"/>
      <c r="EH15" s="285"/>
      <c r="EI15" s="285"/>
      <c r="EJ15" s="285"/>
      <c r="EK15" s="285"/>
      <c r="EL15" s="285"/>
      <c r="EM15" s="285"/>
      <c r="EN15" s="285"/>
      <c r="EO15" s="285"/>
      <c r="EP15" s="285"/>
      <c r="EQ15" s="285"/>
      <c r="ER15" s="285"/>
      <c r="ES15" s="285"/>
      <c r="ET15" s="285"/>
      <c r="EU15" s="285"/>
      <c r="EV15" s="285"/>
      <c r="EW15" s="285"/>
      <c r="EX15" s="285"/>
      <c r="EY15" s="285"/>
      <c r="EZ15" s="285"/>
      <c r="FA15" s="285"/>
      <c r="FB15" s="285"/>
      <c r="FC15" s="285"/>
      <c r="FD15" s="285"/>
      <c r="FE15" s="285"/>
      <c r="FF15" s="285"/>
      <c r="FG15" s="285"/>
      <c r="FH15" s="285"/>
      <c r="FI15" s="285"/>
      <c r="FJ15" s="285"/>
      <c r="FK15" s="285"/>
      <c r="FL15" s="285"/>
      <c r="FM15" s="285"/>
      <c r="FN15" s="285"/>
      <c r="FO15" s="285"/>
      <c r="FP15" s="285"/>
      <c r="FQ15" s="285"/>
      <c r="FR15" s="285"/>
      <c r="FS15" s="285"/>
      <c r="FT15" s="285"/>
      <c r="FU15" s="285"/>
    </row>
    <row r="16" spans="1:177" ht="15.75">
      <c r="A16" s="56"/>
      <c r="B16" s="40"/>
      <c r="C16" s="40"/>
      <c r="D16" s="40"/>
      <c r="E16" s="40"/>
      <c r="F16" s="40"/>
      <c r="G16" s="40"/>
      <c r="H16" s="201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7"/>
      <c r="DG16" s="287"/>
      <c r="DH16" s="287"/>
      <c r="DI16" s="287"/>
      <c r="DJ16" s="287"/>
      <c r="DK16" s="287"/>
      <c r="DL16" s="287"/>
      <c r="DM16" s="287"/>
      <c r="DN16" s="287"/>
      <c r="DO16" s="287"/>
      <c r="DP16" s="287"/>
      <c r="DQ16" s="287"/>
      <c r="DR16" s="287"/>
      <c r="DS16" s="287"/>
      <c r="DT16" s="287"/>
      <c r="DU16" s="287"/>
      <c r="DV16" s="287"/>
      <c r="DW16" s="287"/>
      <c r="DX16" s="287"/>
      <c r="DY16" s="287"/>
      <c r="DZ16" s="287"/>
      <c r="EA16" s="287"/>
      <c r="EB16" s="287"/>
      <c r="EC16" s="287"/>
      <c r="ED16" s="287"/>
      <c r="EE16" s="287"/>
      <c r="EF16" s="287"/>
      <c r="EG16" s="287"/>
      <c r="EH16" s="287"/>
      <c r="EI16" s="287"/>
      <c r="EJ16" s="287"/>
      <c r="EK16" s="287"/>
      <c r="EL16" s="287"/>
      <c r="EM16" s="287"/>
      <c r="EN16" s="287"/>
      <c r="EO16" s="287"/>
      <c r="EP16" s="287"/>
      <c r="EQ16" s="287"/>
      <c r="ER16" s="287"/>
      <c r="ES16" s="287"/>
      <c r="ET16" s="287"/>
      <c r="EU16" s="287"/>
      <c r="EV16" s="287"/>
      <c r="EW16" s="287"/>
      <c r="EX16" s="287"/>
      <c r="EY16" s="287"/>
      <c r="EZ16" s="287"/>
      <c r="FA16" s="287"/>
      <c r="FB16" s="287"/>
      <c r="FC16" s="287"/>
      <c r="FD16" s="287"/>
      <c r="FE16" s="287"/>
      <c r="FF16" s="287"/>
      <c r="FG16" s="287"/>
      <c r="FH16" s="287"/>
      <c r="FI16" s="287"/>
      <c r="FJ16" s="287"/>
      <c r="FK16" s="287"/>
      <c r="FL16" s="287"/>
      <c r="FM16" s="287"/>
      <c r="FN16" s="287"/>
      <c r="FO16" s="287"/>
      <c r="FP16" s="287"/>
      <c r="FQ16" s="287"/>
      <c r="FR16" s="287"/>
      <c r="FS16" s="287"/>
      <c r="FT16" s="287"/>
      <c r="FU16" s="287"/>
    </row>
    <row r="17" spans="1:177" ht="16.5">
      <c r="A17" s="279" t="s">
        <v>37</v>
      </c>
      <c r="B17" s="4"/>
      <c r="C17" s="4"/>
      <c r="D17" s="4"/>
      <c r="E17" s="4"/>
      <c r="F17" s="4"/>
      <c r="G17" s="4"/>
      <c r="H17" s="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</row>
    <row r="18" spans="1:8" ht="16.5" thickBot="1">
      <c r="A18" s="45"/>
      <c r="B18" s="4"/>
      <c r="C18" s="4"/>
      <c r="D18" s="57"/>
      <c r="E18" s="4"/>
      <c r="F18" s="4"/>
      <c r="G18" s="4"/>
      <c r="H18" s="4"/>
    </row>
    <row r="19" spans="1:9" ht="16.5" thickBot="1">
      <c r="A19" s="58" t="s">
        <v>38</v>
      </c>
      <c r="B19" s="59">
        <f aca="true" t="shared" si="0" ref="B19:H19">B10</f>
        <v>2021</v>
      </c>
      <c r="C19" s="59">
        <f t="shared" si="0"/>
        <v>2022</v>
      </c>
      <c r="D19" s="59">
        <f t="shared" si="0"/>
        <v>2023</v>
      </c>
      <c r="E19" s="60">
        <f t="shared" si="0"/>
        <v>2024</v>
      </c>
      <c r="F19" s="60">
        <f t="shared" si="0"/>
        <v>2025</v>
      </c>
      <c r="G19" s="60">
        <f t="shared" si="0"/>
        <v>2026</v>
      </c>
      <c r="H19" s="60">
        <f t="shared" si="0"/>
        <v>2027</v>
      </c>
      <c r="I19" s="61"/>
    </row>
    <row r="20" spans="1:9" ht="15">
      <c r="A20" s="62"/>
      <c r="B20" s="63"/>
      <c r="C20" s="63"/>
      <c r="D20" s="63"/>
      <c r="E20" s="63"/>
      <c r="F20" s="63"/>
      <c r="G20" s="63"/>
      <c r="H20" s="63"/>
      <c r="I20" s="61"/>
    </row>
    <row r="21" spans="1:9" ht="15">
      <c r="A21" s="62"/>
      <c r="B21" s="63"/>
      <c r="C21" s="63"/>
      <c r="D21" s="63"/>
      <c r="E21" s="63"/>
      <c r="F21" s="63"/>
      <c r="G21" s="63"/>
      <c r="H21" s="63"/>
      <c r="I21" s="61"/>
    </row>
    <row r="22" spans="1:9" ht="15">
      <c r="A22" s="64"/>
      <c r="B22" s="65"/>
      <c r="C22" s="65"/>
      <c r="D22" s="65"/>
      <c r="E22" s="65"/>
      <c r="F22" s="65"/>
      <c r="G22" s="65"/>
      <c r="H22" s="65"/>
      <c r="I22" s="61"/>
    </row>
    <row r="23" spans="1:9" ht="15">
      <c r="A23" s="62" t="s">
        <v>40</v>
      </c>
      <c r="B23" s="63">
        <v>630</v>
      </c>
      <c r="C23" s="63"/>
      <c r="D23" s="63"/>
      <c r="E23" s="63"/>
      <c r="F23" s="63"/>
      <c r="G23" s="63"/>
      <c r="H23" s="63"/>
      <c r="I23" s="61"/>
    </row>
    <row r="24" spans="1:9" ht="15">
      <c r="A24" s="62" t="s">
        <v>39</v>
      </c>
      <c r="B24" s="264"/>
      <c r="C24" s="66"/>
      <c r="D24" s="66"/>
      <c r="E24" s="66"/>
      <c r="F24" s="66"/>
      <c r="G24" s="66"/>
      <c r="H24" s="66"/>
      <c r="I24" s="61"/>
    </row>
    <row r="25" spans="1:9" ht="15">
      <c r="A25" s="62" t="s">
        <v>128</v>
      </c>
      <c r="B25" s="265"/>
      <c r="C25" s="67"/>
      <c r="D25" s="67"/>
      <c r="E25" s="67"/>
      <c r="F25" s="67"/>
      <c r="G25" s="67"/>
      <c r="H25" s="67"/>
      <c r="I25" s="61"/>
    </row>
    <row r="26" spans="1:10" ht="15.75" thickBot="1">
      <c r="A26" s="68" t="s">
        <v>41</v>
      </c>
      <c r="B26" s="69"/>
      <c r="C26" s="69"/>
      <c r="D26" s="69"/>
      <c r="E26" s="69"/>
      <c r="F26" s="69"/>
      <c r="G26" s="69"/>
      <c r="H26" s="69"/>
      <c r="I26" s="61"/>
      <c r="J26" s="266"/>
    </row>
    <row r="27" spans="1:8" ht="15">
      <c r="A27" s="70"/>
      <c r="B27" s="291"/>
      <c r="C27" s="291"/>
      <c r="D27" s="291"/>
      <c r="E27" s="291"/>
      <c r="F27" s="291"/>
      <c r="G27" s="291"/>
      <c r="H27" s="291"/>
    </row>
    <row r="28" spans="1:8" ht="15.75">
      <c r="A28" s="71" t="str">
        <f>"Hodnoty počítané kumulovaně za roky "&amp;FIXED(B19,0,TRUE)&amp;" až "&amp;FIXED(H19,0,TRUE)</f>
        <v>Hodnoty počítané kumulovaně za roky 2021 až 2027</v>
      </c>
      <c r="B28" s="4"/>
      <c r="C28" s="4"/>
      <c r="D28" s="4"/>
      <c r="E28" s="4"/>
      <c r="F28" s="4"/>
      <c r="G28" s="4"/>
      <c r="H28" s="4"/>
    </row>
    <row r="29" spans="1:8" ht="15.75">
      <c r="A29" s="72" t="s">
        <v>38</v>
      </c>
      <c r="B29" s="72" t="s">
        <v>42</v>
      </c>
      <c r="C29" s="73"/>
      <c r="D29" s="73"/>
      <c r="E29" s="73"/>
      <c r="F29" s="74"/>
      <c r="G29" s="48" t="s">
        <v>43</v>
      </c>
      <c r="H29" s="75" t="s">
        <v>119</v>
      </c>
    </row>
    <row r="30" spans="1:10" ht="16.5" customHeight="1">
      <c r="A30" s="50" t="s">
        <v>44</v>
      </c>
      <c r="B30" s="269" t="str">
        <f>"(Zisk "&amp;FIXED(H19,0,TRUE)&amp;" / Zisk "&amp;FIXED(B19,0,TRUE)&amp;")^(1/6)   -   1"</f>
        <v>(Zisk 2027 / Zisk 2021)^(1/6)   -   1</v>
      </c>
      <c r="C30" s="270"/>
      <c r="D30" s="270"/>
      <c r="E30" s="271"/>
      <c r="F30" s="272"/>
      <c r="G30" s="273">
        <f>IF(B15=0,0,(H15/B15)^(1/6)-1)</f>
        <v>0</v>
      </c>
      <c r="H30" s="274"/>
      <c r="J30" s="267"/>
    </row>
    <row r="31" spans="1:10" ht="16.5" customHeight="1">
      <c r="A31" s="268" t="s">
        <v>45</v>
      </c>
      <c r="B31" s="349"/>
      <c r="C31" s="350"/>
      <c r="D31" s="350"/>
      <c r="E31" s="350"/>
      <c r="F31" s="351"/>
      <c r="G31" s="296"/>
      <c r="H31" s="275"/>
      <c r="J31" s="267"/>
    </row>
    <row r="32" spans="1:11" ht="16.5" customHeight="1">
      <c r="A32" s="52" t="s">
        <v>112</v>
      </c>
      <c r="B32" s="78" t="str">
        <f>"(Součet In "&amp;FIXED(B19,0,TRUE)&amp;" až "&amp;FIXED(H19,0,TRUE)&amp;") / Součet KPVH "&amp;FIXED(B19,0,TRUE)&amp;" až "&amp;FIXED(H19,0,TRUE)</f>
        <v>(Součet In 2021 až 2027) / Součet KPVH 2021 až 2027</v>
      </c>
      <c r="C32" s="79"/>
      <c r="D32" s="79"/>
      <c r="E32" s="79"/>
      <c r="F32" s="80"/>
      <c r="G32" s="81" t="e">
        <f>SUM(B23:H23)/SUM(B15:H15)</f>
        <v>#DIV/0!</v>
      </c>
      <c r="H32" s="276"/>
      <c r="J32" s="267"/>
      <c r="K32" s="267"/>
    </row>
    <row r="34" spans="1:8" ht="15.75">
      <c r="A34" s="82" t="s">
        <v>46</v>
      </c>
      <c r="H34" s="2"/>
    </row>
    <row r="35" ht="15.75">
      <c r="A35" s="82" t="s">
        <v>47</v>
      </c>
    </row>
    <row r="36" ht="15.75">
      <c r="A36" s="82" t="s">
        <v>120</v>
      </c>
    </row>
    <row r="37" ht="9.75" customHeight="1">
      <c r="A37" s="82"/>
    </row>
    <row r="38" ht="18.75" customHeight="1">
      <c r="A38" s="277" t="s">
        <v>121</v>
      </c>
    </row>
    <row r="39" ht="18.75" customHeight="1">
      <c r="A39" s="293" t="s">
        <v>134</v>
      </c>
    </row>
    <row r="40" ht="18.75" customHeight="1">
      <c r="A40" s="293" t="s">
        <v>135</v>
      </c>
    </row>
    <row r="41" ht="15.75" customHeight="1">
      <c r="A41" s="293" t="s">
        <v>136</v>
      </c>
    </row>
    <row r="42" spans="1:7" ht="15.75">
      <c r="A42" s="293" t="s">
        <v>169</v>
      </c>
      <c r="G42" s="288"/>
    </row>
    <row r="43" spans="1:7" ht="15.75">
      <c r="A43" s="293" t="s">
        <v>168</v>
      </c>
      <c r="G43" s="288"/>
    </row>
    <row r="44" spans="1:7" ht="18" customHeight="1">
      <c r="A44" s="293" t="s">
        <v>129</v>
      </c>
      <c r="G44" s="288"/>
    </row>
    <row r="45" ht="15.75">
      <c r="A45" s="293" t="s">
        <v>130</v>
      </c>
    </row>
    <row r="46" spans="1:7" ht="15.75">
      <c r="A46" s="82"/>
      <c r="G46" s="288"/>
    </row>
    <row r="47" spans="1:7" ht="15.75">
      <c r="A47" s="82" t="s">
        <v>131</v>
      </c>
      <c r="B47" s="295">
        <v>0.11</v>
      </c>
      <c r="G47" s="288"/>
    </row>
    <row r="49" spans="1:7" ht="18">
      <c r="A49" s="32" t="s">
        <v>15</v>
      </c>
      <c r="B49" s="2"/>
      <c r="C49" s="2"/>
      <c r="D49" s="2"/>
      <c r="E49" s="2"/>
      <c r="F49" s="2"/>
      <c r="G49" s="2"/>
    </row>
  </sheetData>
  <sheetProtection/>
  <mergeCells count="1">
    <mergeCell ref="B31:F31"/>
  </mergeCells>
  <printOptions headings="1"/>
  <pageMargins left="0.3937007874015748" right="0.3937007874015748" top="0.984251968503937" bottom="0.984251968503937" header="0.5118110236220472" footer="0.5118110236220472"/>
  <pageSetup fitToHeight="1" fitToWidth="1" horizontalDpi="120" verticalDpi="120" orientation="portrait" paperSize="9" scale="77" r:id="rId4"/>
  <headerFooter alignWithMargins="0">
    <oddHeader>&amp;C&amp;A</oddHeader>
    <oddFooter>&amp;LIOM - OP27&amp;CStrana &amp;P&amp;RMiloš Mařík, Pavla Maříková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0" customWidth="1"/>
    <col min="2" max="2" width="26.75390625" style="0" customWidth="1"/>
    <col min="3" max="8" width="8.75390625" style="0" customWidth="1"/>
    <col min="9" max="10" width="10.25390625" style="0" customWidth="1"/>
  </cols>
  <sheetData>
    <row r="1" spans="1:8" ht="30.75" customHeight="1">
      <c r="A1" s="115" t="s">
        <v>48</v>
      </c>
      <c r="B1" s="4"/>
      <c r="C1" s="4"/>
      <c r="D1" s="4"/>
      <c r="E1" s="4"/>
      <c r="F1" s="4"/>
      <c r="G1" s="4"/>
      <c r="H1" s="4"/>
    </row>
    <row r="2" spans="1:8" ht="15.75">
      <c r="A2" s="72" t="s">
        <v>22</v>
      </c>
      <c r="B2" s="73"/>
      <c r="C2" s="48">
        <f>Aktiva!C3</f>
        <v>2022</v>
      </c>
      <c r="D2" s="48">
        <f>Aktiva!D3</f>
        <v>2023</v>
      </c>
      <c r="E2" s="83">
        <f>Aktiva!E3</f>
        <v>2024</v>
      </c>
      <c r="F2" s="83">
        <f>Aktiva!F3</f>
        <v>2025</v>
      </c>
      <c r="G2" s="83">
        <f>Aktiva!G3</f>
        <v>2026</v>
      </c>
      <c r="H2" s="83">
        <f>Aktiva!H3</f>
        <v>2027</v>
      </c>
    </row>
    <row r="3" spans="1:8" ht="15.75">
      <c r="A3" s="85" t="s">
        <v>139</v>
      </c>
      <c r="B3" s="86"/>
      <c r="C3" s="87"/>
      <c r="D3" s="87"/>
      <c r="E3" s="87"/>
      <c r="F3" s="87"/>
      <c r="G3" s="87"/>
      <c r="H3" s="87"/>
    </row>
    <row r="4" spans="1:8" ht="15.75">
      <c r="A4" s="76" t="s">
        <v>49</v>
      </c>
      <c r="B4" s="88"/>
      <c r="C4" s="63"/>
      <c r="D4" s="63"/>
      <c r="E4" s="63"/>
      <c r="F4" s="63"/>
      <c r="G4" s="63"/>
      <c r="H4" s="63"/>
    </row>
    <row r="5" spans="1:8" ht="15.75">
      <c r="A5" s="76" t="s">
        <v>50</v>
      </c>
      <c r="B5" s="42"/>
      <c r="C5" s="63"/>
      <c r="D5" s="63"/>
      <c r="E5" s="63"/>
      <c r="F5" s="63"/>
      <c r="G5" s="63"/>
      <c r="H5" s="63"/>
    </row>
    <row r="6" spans="1:8" ht="15.75">
      <c r="A6" s="76" t="s">
        <v>51</v>
      </c>
      <c r="B6" s="88"/>
      <c r="C6" s="63"/>
      <c r="D6" s="63"/>
      <c r="E6" s="63"/>
      <c r="F6" s="63"/>
      <c r="G6" s="63"/>
      <c r="H6" s="63"/>
    </row>
    <row r="7" spans="1:8" ht="15.75">
      <c r="A7" s="77" t="s">
        <v>52</v>
      </c>
      <c r="B7" s="89"/>
      <c r="C7" s="90"/>
      <c r="D7" s="90"/>
      <c r="E7" s="90"/>
      <c r="F7" s="90"/>
      <c r="G7" s="90"/>
      <c r="H7" s="90"/>
    </row>
    <row r="8" spans="1:8" ht="15.75">
      <c r="A8" s="91" t="s">
        <v>53</v>
      </c>
      <c r="B8" s="84"/>
      <c r="C8" s="92"/>
      <c r="D8" s="92"/>
      <c r="E8" s="92"/>
      <c r="F8" s="92"/>
      <c r="G8" s="92"/>
      <c r="H8" s="92"/>
    </row>
    <row r="9" spans="1:8" ht="15.75">
      <c r="A9" s="40"/>
      <c r="B9" s="40"/>
      <c r="C9" s="40"/>
      <c r="D9" s="40"/>
      <c r="E9" s="40"/>
      <c r="F9" s="40"/>
      <c r="G9" s="40"/>
      <c r="H9" s="40"/>
    </row>
    <row r="10" spans="1:8" ht="18.75">
      <c r="A10" s="93" t="s">
        <v>110</v>
      </c>
      <c r="B10" s="94"/>
      <c r="C10" s="95">
        <f>Podklady!B47</f>
        <v>0.11</v>
      </c>
      <c r="D10" s="96"/>
      <c r="E10" s="4"/>
      <c r="F10" s="4"/>
      <c r="G10" s="4"/>
      <c r="H10" s="4"/>
    </row>
    <row r="11" spans="1:8" ht="15.75">
      <c r="A11" s="4"/>
      <c r="B11" s="4"/>
      <c r="C11" s="97"/>
      <c r="D11" s="4"/>
      <c r="E11" s="4"/>
      <c r="F11" s="4"/>
      <c r="G11" s="4"/>
      <c r="H11" s="4"/>
    </row>
    <row r="12" spans="1:8" ht="15.75">
      <c r="A12" s="98" t="s">
        <v>55</v>
      </c>
      <c r="B12" s="97"/>
      <c r="C12" s="97"/>
      <c r="D12" s="99"/>
      <c r="E12" s="100"/>
      <c r="F12" s="100"/>
      <c r="G12" s="100"/>
      <c r="H12" s="100"/>
    </row>
    <row r="13" spans="1:8" ht="15.75">
      <c r="A13" s="77" t="s">
        <v>56</v>
      </c>
      <c r="B13" s="101"/>
      <c r="C13" s="101"/>
      <c r="D13" s="102"/>
      <c r="E13" s="90"/>
      <c r="F13" s="90"/>
      <c r="G13" s="90"/>
      <c r="H13" s="90"/>
    </row>
    <row r="14" spans="1:8" ht="16.5" thickBot="1">
      <c r="A14" s="40"/>
      <c r="B14" s="40"/>
      <c r="C14" s="40"/>
      <c r="D14" s="40"/>
      <c r="E14" s="40"/>
      <c r="F14" s="40"/>
      <c r="G14" s="40"/>
      <c r="H14" s="40"/>
    </row>
    <row r="15" spans="1:8" ht="16.5" thickBot="1">
      <c r="A15" s="103" t="s">
        <v>57</v>
      </c>
      <c r="B15" s="104"/>
      <c r="C15" s="105"/>
      <c r="D15" s="40"/>
      <c r="E15" s="4"/>
      <c r="F15" s="4"/>
      <c r="G15" s="4"/>
      <c r="H15" s="4"/>
    </row>
    <row r="16" spans="1:8" ht="15.75">
      <c r="A16" s="104"/>
      <c r="B16" s="104"/>
      <c r="C16" s="44"/>
      <c r="D16" s="42"/>
      <c r="E16" s="4"/>
      <c r="F16" s="4"/>
      <c r="G16" s="4"/>
      <c r="H16" s="4"/>
    </row>
    <row r="17" spans="1:8" ht="18">
      <c r="A17" s="32" t="s">
        <v>15</v>
      </c>
      <c r="B17" s="2"/>
      <c r="C17" s="2"/>
      <c r="D17" s="2"/>
      <c r="E17" s="2"/>
      <c r="F17" s="2"/>
      <c r="G17" s="2"/>
      <c r="H17" s="2"/>
    </row>
  </sheetData>
  <sheetProtection/>
  <printOptions headings="1"/>
  <pageMargins left="0.3937007874015748" right="0.3937007874015748" top="0.984251968503937" bottom="0.984251968503937" header="0.5118110236220472" footer="0.5118110236220472"/>
  <pageSetup fitToHeight="1" fitToWidth="1" horizontalDpi="120" verticalDpi="120" orientation="portrait" paperSize="9" scale="79" r:id="rId2"/>
  <headerFooter alignWithMargins="0">
    <oddHeader>&amp;C&amp;A</oddHeader>
    <oddFooter>&amp;LIOM - OP27&amp;CStrana &amp;P&amp;RMiloš Mařík, Pavla Maříková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9.25390625" style="0" customWidth="1"/>
    <col min="2" max="2" width="11.00390625" style="0" customWidth="1"/>
    <col min="3" max="3" width="3.25390625" style="0" customWidth="1"/>
    <col min="4" max="4" width="3.125" style="0" customWidth="1"/>
  </cols>
  <sheetData>
    <row r="1" spans="1:2" ht="15.75">
      <c r="A1" s="36" t="s">
        <v>58</v>
      </c>
      <c r="B1" s="4"/>
    </row>
    <row r="2" spans="1:2" ht="14.25" customHeight="1">
      <c r="A2" s="4"/>
      <c r="B2" s="4"/>
    </row>
    <row r="3" spans="1:2" ht="18.75">
      <c r="A3" s="93" t="s">
        <v>54</v>
      </c>
      <c r="B3" s="106">
        <f>'1. fáze'!C10</f>
        <v>0.11</v>
      </c>
    </row>
    <row r="4" spans="1:2" ht="13.5" customHeight="1">
      <c r="A4" s="93"/>
      <c r="B4" s="106"/>
    </row>
    <row r="5" spans="1:2" ht="16.5">
      <c r="A5" s="279" t="s">
        <v>170</v>
      </c>
      <c r="B5" s="106"/>
    </row>
    <row r="6" spans="1:2" ht="12.75" customHeight="1" thickBot="1">
      <c r="A6" s="279"/>
      <c r="B6" s="106"/>
    </row>
    <row r="7" spans="1:2" ht="29.25">
      <c r="A7" s="107" t="s">
        <v>123</v>
      </c>
      <c r="B7" s="108"/>
    </row>
    <row r="8" spans="1:2" ht="16.5" thickBot="1">
      <c r="A8" s="281" t="s">
        <v>126</v>
      </c>
      <c r="B8" s="282"/>
    </row>
    <row r="9" ht="12.75" customHeight="1">
      <c r="B9" s="106"/>
    </row>
    <row r="10" spans="1:2" ht="16.5">
      <c r="A10" s="280" t="s">
        <v>122</v>
      </c>
      <c r="B10" s="106"/>
    </row>
    <row r="11" spans="1:2" ht="13.5" customHeight="1" thickBot="1">
      <c r="A11" s="280"/>
      <c r="B11" s="106"/>
    </row>
    <row r="12" spans="1:2" ht="29.25">
      <c r="A12" s="107" t="s">
        <v>59</v>
      </c>
      <c r="B12" s="108"/>
    </row>
    <row r="13" spans="1:2" ht="16.5" thickBot="1">
      <c r="A13" s="281" t="s">
        <v>60</v>
      </c>
      <c r="B13" s="282"/>
    </row>
    <row r="14" spans="1:2" ht="15.75">
      <c r="A14" s="277"/>
      <c r="B14" s="283"/>
    </row>
    <row r="15" spans="1:2" ht="16.5">
      <c r="A15" s="280" t="str">
        <f>"Ocenění podniku k 1. 1. "&amp;FIXED(YEAR(rok),0,1)</f>
        <v>Ocenění podniku k 1. 1. 2024</v>
      </c>
      <c r="B15" s="109"/>
    </row>
    <row r="16" spans="1:2" ht="12.75" customHeight="1" thickBot="1">
      <c r="A16" s="280"/>
      <c r="B16" s="109"/>
    </row>
    <row r="17" spans="1:2" ht="15.75">
      <c r="A17" s="39" t="s">
        <v>61</v>
      </c>
      <c r="B17" s="108"/>
    </row>
    <row r="18" spans="1:2" ht="15.75">
      <c r="A18" s="110" t="s">
        <v>62</v>
      </c>
      <c r="B18" s="111"/>
    </row>
    <row r="19" spans="1:2" ht="15.75">
      <c r="A19" s="112" t="s">
        <v>63</v>
      </c>
      <c r="B19" s="113"/>
    </row>
    <row r="20" spans="1:2" ht="15.75">
      <c r="A20" s="110" t="s">
        <v>64</v>
      </c>
      <c r="B20" s="111"/>
    </row>
    <row r="21" spans="1:2" ht="15.75">
      <c r="A21" s="112" t="s">
        <v>65</v>
      </c>
      <c r="B21" s="113"/>
    </row>
    <row r="22" spans="1:2" ht="15.75">
      <c r="A22" s="110" t="s">
        <v>109</v>
      </c>
      <c r="B22" s="111"/>
    </row>
    <row r="23" spans="1:2" ht="16.5" thickBot="1">
      <c r="A23" s="43" t="s">
        <v>66</v>
      </c>
      <c r="B23" s="114"/>
    </row>
    <row r="24" spans="1:2" ht="16.5" customHeight="1" thickBot="1">
      <c r="A24" s="343" t="s">
        <v>171</v>
      </c>
      <c r="B24" s="344">
        <v>151606.14874394386</v>
      </c>
    </row>
    <row r="25" spans="1:2" ht="24.75" customHeight="1">
      <c r="A25" s="32" t="s">
        <v>15</v>
      </c>
      <c r="B25" s="2"/>
    </row>
  </sheetData>
  <sheetProtection/>
  <printOptions headings="1"/>
  <pageMargins left="0.3937007874015748" right="0.3937007874015748" top="0.984251968503937" bottom="0.984251968503937" header="0.5118110236220472" footer="0.5118110236220472"/>
  <pageSetup fitToHeight="1" fitToWidth="1" horizontalDpi="120" verticalDpi="120" orientation="portrait" paperSize="9" scale="82" r:id="rId2"/>
  <headerFooter alignWithMargins="0">
    <oddHeader>&amp;C&amp;A</oddHeader>
    <oddFooter>&amp;LIOM - OP27&amp;CStrana &amp;P&amp;RMiloš Mařík, Pavla Maříková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Ocenění</dc:title>
  <dc:subject>Oceňování podniku 1</dc:subject>
  <dc:creator>VSE Praha</dc:creator>
  <cp:keywords/>
  <dc:description/>
  <cp:lastModifiedBy>Pavla Maříková</cp:lastModifiedBy>
  <cp:lastPrinted>2024-06-04T15:23:15Z</cp:lastPrinted>
  <dcterms:created xsi:type="dcterms:W3CDTF">2005-03-15T10:48:30Z</dcterms:created>
  <dcterms:modified xsi:type="dcterms:W3CDTF">2024-06-04T15:24:05Z</dcterms:modified>
  <cp:category/>
  <cp:version/>
  <cp:contentType/>
  <cp:contentStatus/>
</cp:coreProperties>
</file>