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9405" windowHeight="3240" activeTab="0"/>
  </bookViews>
  <sheets>
    <sheet name="Úvod" sheetId="1" r:id="rId1"/>
    <sheet name="Závěrka" sheetId="2" r:id="rId2"/>
    <sheet name="Plán" sheetId="3" r:id="rId3"/>
    <sheet name="Informace" sheetId="4" r:id="rId4"/>
    <sheet name="Výsledky" sheetId="5" r:id="rId5"/>
  </sheets>
  <definedNames>
    <definedName name="rok">'Úvod'!$C$48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<sst xmlns="http://schemas.openxmlformats.org/spreadsheetml/2006/main" count="448" uniqueCount="352">
  <si>
    <t>Úkol:</t>
  </si>
  <si>
    <t>a) PH počítaná jako věčná renta (nejoparnější ocenění)</t>
  </si>
  <si>
    <r>
      <t>©</t>
    </r>
    <r>
      <rPr>
        <i/>
        <sz val="12"/>
        <color indexed="17"/>
        <rFont val="Times New Roman CE"/>
        <family val="1"/>
      </rPr>
      <t xml:space="preserve"> Autoři: Pavla Maříková, Miloš Mařík</t>
    </r>
  </si>
  <si>
    <t>Rok:</t>
  </si>
  <si>
    <t>Označ.</t>
  </si>
  <si>
    <t>AKTIVA</t>
  </si>
  <si>
    <t>řád.</t>
  </si>
  <si>
    <t>Běž.období</t>
  </si>
  <si>
    <t>Min. obd.</t>
  </si>
  <si>
    <t>a</t>
  </si>
  <si>
    <t>b</t>
  </si>
  <si>
    <t>c</t>
  </si>
  <si>
    <t>brutto (1)</t>
  </si>
  <si>
    <t>korekce(2)</t>
  </si>
  <si>
    <t>netto (3)</t>
  </si>
  <si>
    <t>netto (4)</t>
  </si>
  <si>
    <t>AKTIVA CELKEM</t>
  </si>
  <si>
    <t xml:space="preserve">  A.</t>
  </si>
  <si>
    <t>Pohledávky za upsaný základní kapitál</t>
  </si>
  <si>
    <t xml:space="preserve">  B.</t>
  </si>
  <si>
    <t>Dlouhodobý majetek</t>
  </si>
  <si>
    <t xml:space="preserve">  B. I.</t>
  </si>
  <si>
    <t>Dlouhodobý nehmotný majetek</t>
  </si>
  <si>
    <t xml:space="preserve">  B. I. 1.</t>
  </si>
  <si>
    <t>Zřizovací výdaje</t>
  </si>
  <si>
    <t xml:space="preserve">         2.</t>
  </si>
  <si>
    <t>Nehmotné výsledky výzkumu a vývoje</t>
  </si>
  <si>
    <t xml:space="preserve">         3.</t>
  </si>
  <si>
    <t>Software</t>
  </si>
  <si>
    <t xml:space="preserve">         4.</t>
  </si>
  <si>
    <t>Ocenitelná práva</t>
  </si>
  <si>
    <t xml:space="preserve">         5.</t>
  </si>
  <si>
    <t>Jiný dlouhodobý nehmotný  majetek</t>
  </si>
  <si>
    <t xml:space="preserve">         6.</t>
  </si>
  <si>
    <t>Nedokončený dlouhodobý nehmotný majetek</t>
  </si>
  <si>
    <t xml:space="preserve">         7.</t>
  </si>
  <si>
    <t>Poskyt. zálohy na dlouhodobý nehm. majetek</t>
  </si>
  <si>
    <t xml:space="preserve">  B. II.</t>
  </si>
  <si>
    <t>Dlouhodobý hmotný majetek</t>
  </si>
  <si>
    <t xml:space="preserve">  B. II.1.</t>
  </si>
  <si>
    <t>Pozemky</t>
  </si>
  <si>
    <t>Stavby</t>
  </si>
  <si>
    <t>Samostatné movité věci a soubory mov. věcí</t>
  </si>
  <si>
    <t>Pěstitelské celky trvalých porostů</t>
  </si>
  <si>
    <t>Základní stádo a tažná zvířata</t>
  </si>
  <si>
    <t>Jiný dlouhodobý hmotný majetek</t>
  </si>
  <si>
    <t>Nedokončený dlouhodobý hmotný majetek</t>
  </si>
  <si>
    <t xml:space="preserve">         8.</t>
  </si>
  <si>
    <t>Poskyt.zálohy na dlouhodobý hmotný majetek</t>
  </si>
  <si>
    <t xml:space="preserve">         9.</t>
  </si>
  <si>
    <t>Oceňovací rozdíl k nabytému majetku</t>
  </si>
  <si>
    <t xml:space="preserve">  B.III.</t>
  </si>
  <si>
    <t>Dlouhodobý finanční majetek</t>
  </si>
  <si>
    <t xml:space="preserve">  B.III.1.</t>
  </si>
  <si>
    <t>Podíly v ovládaných a řízených osobách</t>
  </si>
  <si>
    <t>Podíly v účetních jednotkách pod podst. vlivem</t>
  </si>
  <si>
    <t>Ostatní dlouhodobé cenné papíry a podíly</t>
  </si>
  <si>
    <t>Půjčky a úvěry ovládaným a řízeným osobám</t>
  </si>
  <si>
    <t>Jiný dlouhodobý finanční majetek</t>
  </si>
  <si>
    <t xml:space="preserve">  C.</t>
  </si>
  <si>
    <t>Oběžná aktiva</t>
  </si>
  <si>
    <t xml:space="preserve">  C. I.</t>
  </si>
  <si>
    <t>Zásoby</t>
  </si>
  <si>
    <t xml:space="preserve">  C. I. 1.</t>
  </si>
  <si>
    <t>Materiál</t>
  </si>
  <si>
    <t>Nedokončená výroba a polotovary</t>
  </si>
  <si>
    <t>Výrobky</t>
  </si>
  <si>
    <t>Zvířata</t>
  </si>
  <si>
    <t>Zboží</t>
  </si>
  <si>
    <t>Poskytnuté zálohy na zásoby</t>
  </si>
  <si>
    <t xml:space="preserve">  C. II.</t>
  </si>
  <si>
    <t>Dlouhodobé pohledávky</t>
  </si>
  <si>
    <t xml:space="preserve">  C. II.1.</t>
  </si>
  <si>
    <t>Pohledávky z obchodního styku</t>
  </si>
  <si>
    <t>Pohledávky ke společníkům a sdružení</t>
  </si>
  <si>
    <t>Pohledávky v podnicích s rozhod. vlivem</t>
  </si>
  <si>
    <t>Pohledávky v podnicích s podstat. vlivem</t>
  </si>
  <si>
    <t>Jiné pohledávky</t>
  </si>
  <si>
    <t xml:space="preserve">  C.III.</t>
  </si>
  <si>
    <t>Krátkodobé pohledávky</t>
  </si>
  <si>
    <t xml:space="preserve">  C.III.1.</t>
  </si>
  <si>
    <t>Pohledávky z obchodních vztahů</t>
  </si>
  <si>
    <t>Pohledávky za ovládanými a řízenými osobami</t>
  </si>
  <si>
    <t>Pohledávky za účet. jednot. pod podst.vlivem</t>
  </si>
  <si>
    <t>Pohledávky za společníky, členy družstva</t>
  </si>
  <si>
    <t>Sociální zabezpečení a zdravotní pojištění</t>
  </si>
  <si>
    <t>Stát - daňové pohledávky</t>
  </si>
  <si>
    <t>Ostatní poskytnuté zálohy</t>
  </si>
  <si>
    <t>Dohadné účty aktivní</t>
  </si>
  <si>
    <t xml:space="preserve">  C.IV.</t>
  </si>
  <si>
    <t>Krátkodobý finanční majetek</t>
  </si>
  <si>
    <t xml:space="preserve">  C.IV.1.</t>
  </si>
  <si>
    <t>Peníze</t>
  </si>
  <si>
    <t>Účty v bankách</t>
  </si>
  <si>
    <t>Krátkodobé cenné papíry a podíly</t>
  </si>
  <si>
    <t xml:space="preserve">  D. I. </t>
  </si>
  <si>
    <t>Časové rozlišení</t>
  </si>
  <si>
    <t xml:space="preserve">  D. I. 1.</t>
  </si>
  <si>
    <t>Náklady příštích období</t>
  </si>
  <si>
    <t>Komplexní náklady příštích období</t>
  </si>
  <si>
    <t>Příjmy příštích období</t>
  </si>
  <si>
    <t>Řád.</t>
  </si>
  <si>
    <t>Min. období</t>
  </si>
  <si>
    <t>Pasiva celkem</t>
  </si>
  <si>
    <t>Vlastní kapitál</t>
  </si>
  <si>
    <t xml:space="preserve">  A. I. </t>
  </si>
  <si>
    <t>Základní kapitál</t>
  </si>
  <si>
    <t xml:space="preserve">  A. I. 1.</t>
  </si>
  <si>
    <t>Vlastní akcie a vlastní obchodní podíly (-)</t>
  </si>
  <si>
    <t>Změny základního kapitálu</t>
  </si>
  <si>
    <t xml:space="preserve">  A. II.</t>
  </si>
  <si>
    <t>Kapitálové fondy</t>
  </si>
  <si>
    <t xml:space="preserve">  A. II.1.</t>
  </si>
  <si>
    <t>Emisní ážio</t>
  </si>
  <si>
    <t>Ostatní kapitálové fondy</t>
  </si>
  <si>
    <t>Oceň. rozdíly z přecenění majetku a závazků</t>
  </si>
  <si>
    <t>Oceňovací rozdíly při přeměnách</t>
  </si>
  <si>
    <t xml:space="preserve">  A.III.</t>
  </si>
  <si>
    <t>Rez. fondy, neděl. fond a ostatní fondy ze zisku</t>
  </si>
  <si>
    <t xml:space="preserve">  A.III.1.</t>
  </si>
  <si>
    <t>Zákonný rezervní fond / Nedělitelný fond</t>
  </si>
  <si>
    <t>Statutární a ostatní fondy</t>
  </si>
  <si>
    <t xml:space="preserve">  A.IV.</t>
  </si>
  <si>
    <t>Výsledek hospodaření minulých let</t>
  </si>
  <si>
    <t xml:space="preserve">  A.IV.1.</t>
  </si>
  <si>
    <t>Nerozdělený zisk minulých let</t>
  </si>
  <si>
    <t>Neuhrazená ztráta minulých let</t>
  </si>
  <si>
    <t xml:space="preserve">  A. V.</t>
  </si>
  <si>
    <t>Výsledek hospodaření běžného účet. období</t>
  </si>
  <si>
    <t>Cizí zdroje</t>
  </si>
  <si>
    <t>Rezervy</t>
  </si>
  <si>
    <t>Dlouhodobé závazky</t>
  </si>
  <si>
    <t>Krátkodobé závazky</t>
  </si>
  <si>
    <t>Závazky z obchodních vztahů</t>
  </si>
  <si>
    <t>Závazky k ovládaným a řízeným osobám</t>
  </si>
  <si>
    <t>Závazky k úč. jedn. pod podstatným vlivem</t>
  </si>
  <si>
    <t>Závazky ke společníkům, členům družstva</t>
  </si>
  <si>
    <t>Závazky k zaměstnancům</t>
  </si>
  <si>
    <t>Závazky ze sociálního zabezpečení a zdrav.poj.</t>
  </si>
  <si>
    <t>Stát - daňové závazky a dotace</t>
  </si>
  <si>
    <t>Krátkodobé přijaté zálohy</t>
  </si>
  <si>
    <t>Vydané dluhopisy</t>
  </si>
  <si>
    <t>Dohadné účty pasivní</t>
  </si>
  <si>
    <t>Jiné závazky</t>
  </si>
  <si>
    <t xml:space="preserve">  B.IV.</t>
  </si>
  <si>
    <t>Bankovní úvěry a výpomoci</t>
  </si>
  <si>
    <t xml:space="preserve">  B.IV.1.</t>
  </si>
  <si>
    <t>Bankovní úvěry dlouhodobé</t>
  </si>
  <si>
    <t>Krátkodobé bankovní úvěry</t>
  </si>
  <si>
    <t>Krátkodobé finanční výpomoci</t>
  </si>
  <si>
    <t>Výdaje příštích období</t>
  </si>
  <si>
    <t>Výnosy příštích období</t>
  </si>
  <si>
    <t>TEXT</t>
  </si>
  <si>
    <t>Sled. obd.</t>
  </si>
  <si>
    <t xml:space="preserve">     I.</t>
  </si>
  <si>
    <t>Tržby za prodej zboží</t>
  </si>
  <si>
    <t xml:space="preserve"> A.</t>
  </si>
  <si>
    <t>Náklady vynaložené na prodané zboží</t>
  </si>
  <si>
    <t xml:space="preserve">     +</t>
  </si>
  <si>
    <t>Obchodní marže</t>
  </si>
  <si>
    <t xml:space="preserve">     II.</t>
  </si>
  <si>
    <t>Výkony</t>
  </si>
  <si>
    <t xml:space="preserve">     II. 1.</t>
  </si>
  <si>
    <t>Tržby za prodej vlastních výrobků a služeb</t>
  </si>
  <si>
    <t>Změna stavu vnitropod. zásob vlastní činnosti</t>
  </si>
  <si>
    <t>Aktivace</t>
  </si>
  <si>
    <t xml:space="preserve"> B.</t>
  </si>
  <si>
    <t>Výkonová spotřeba</t>
  </si>
  <si>
    <t xml:space="preserve"> B.     1.</t>
  </si>
  <si>
    <t>Spotřeba materiálu a energie</t>
  </si>
  <si>
    <t>Služby</t>
  </si>
  <si>
    <t>Přidaná hodnota</t>
  </si>
  <si>
    <t xml:space="preserve"> C.</t>
  </si>
  <si>
    <t>Osobní náklady</t>
  </si>
  <si>
    <t xml:space="preserve"> C.     1.</t>
  </si>
  <si>
    <t>Mzdové náklady</t>
  </si>
  <si>
    <t>Odměny členům orgánů společnosti a družstva</t>
  </si>
  <si>
    <t>Náklady na sociální zabezpečení a zdrav. poj.</t>
  </si>
  <si>
    <t>Sociální náklady</t>
  </si>
  <si>
    <t xml:space="preserve"> D.</t>
  </si>
  <si>
    <t>Daně a poplatky</t>
  </si>
  <si>
    <t xml:space="preserve"> E.</t>
  </si>
  <si>
    <t>Odpisy dlouh. nehmotného a hmotného maj.</t>
  </si>
  <si>
    <t xml:space="preserve">     III.</t>
  </si>
  <si>
    <t>Tržby z prodeje dlouhodobého majetku a mater.</t>
  </si>
  <si>
    <t xml:space="preserve"> F.</t>
  </si>
  <si>
    <t>Zůstatková cena prodaného dlouh.maj. a mat.</t>
  </si>
  <si>
    <t xml:space="preserve">     IV.</t>
  </si>
  <si>
    <t>Zúčtování rezerv a čas. rozlišení prov. výnosů</t>
  </si>
  <si>
    <t xml:space="preserve"> G.</t>
  </si>
  <si>
    <t>Tvorba rezerv a časového rozlišení prov. nákl.</t>
  </si>
  <si>
    <t xml:space="preserve">     V.</t>
  </si>
  <si>
    <t>Zúčtování opravných položek do prov. výnosů</t>
  </si>
  <si>
    <t xml:space="preserve"> H.</t>
  </si>
  <si>
    <t>Zúčtování opravných položek do prov. nákladů</t>
  </si>
  <si>
    <t xml:space="preserve">Ostatní provozní výnosy </t>
  </si>
  <si>
    <t>H.</t>
  </si>
  <si>
    <t>Ostatní provozní náklady</t>
  </si>
  <si>
    <t>Převod provozních výnosů</t>
  </si>
  <si>
    <t xml:space="preserve"> I.</t>
  </si>
  <si>
    <t>Převod provozních nákladů</t>
  </si>
  <si>
    <t xml:space="preserve">     *</t>
  </si>
  <si>
    <t>Provozní výsledek hospodaření</t>
  </si>
  <si>
    <t xml:space="preserve">     VI.</t>
  </si>
  <si>
    <t>Tržby z prodeje cenných papírů a vkladů</t>
  </si>
  <si>
    <t xml:space="preserve"> J.</t>
  </si>
  <si>
    <t>Prodané cenné papíry a vklady</t>
  </si>
  <si>
    <t xml:space="preserve">   VII.</t>
  </si>
  <si>
    <t>Výnosy z dlouhodobého finančního majetku</t>
  </si>
  <si>
    <t xml:space="preserve">   VII.1.</t>
  </si>
  <si>
    <t>Výnosy z podílů v ovládaných a řízených os.</t>
  </si>
  <si>
    <t>Výnosy z ostatních dlouh.cenn.papírů a podílů</t>
  </si>
  <si>
    <t>Výnosy z ostatního dlouh. finančního majetku</t>
  </si>
  <si>
    <t xml:space="preserve">   VIII.</t>
  </si>
  <si>
    <t>Výnosy z krátkodobého finančního majetku</t>
  </si>
  <si>
    <t xml:space="preserve">     XI.</t>
  </si>
  <si>
    <t>Zúčtování rezerv do fin. výnosů</t>
  </si>
  <si>
    <t xml:space="preserve"> L.</t>
  </si>
  <si>
    <t>Tvorba rezerv na finanční náklady</t>
  </si>
  <si>
    <t xml:space="preserve">     XII.</t>
  </si>
  <si>
    <t>Zúčtování opravných položek do fin. výnosů</t>
  </si>
  <si>
    <t xml:space="preserve"> M.</t>
  </si>
  <si>
    <t>Zúčtování opravných položek do fin. nákladů</t>
  </si>
  <si>
    <t xml:space="preserve">    X.</t>
  </si>
  <si>
    <t>Výnosové úroky</t>
  </si>
  <si>
    <t xml:space="preserve"> N.</t>
  </si>
  <si>
    <t>Nákladové úroky</t>
  </si>
  <si>
    <t>Ostatní finanční výnosy</t>
  </si>
  <si>
    <t xml:space="preserve"> O.</t>
  </si>
  <si>
    <t>Ostatní finanční náklady</t>
  </si>
  <si>
    <t>Převod finančních výnosů</t>
  </si>
  <si>
    <t xml:space="preserve"> P.</t>
  </si>
  <si>
    <t>Převod finančních nákladů</t>
  </si>
  <si>
    <t>Finanční výsledek hospodaření</t>
  </si>
  <si>
    <t xml:space="preserve"> Q.</t>
  </si>
  <si>
    <t>Daň z příjmů za běžnou činnost</t>
  </si>
  <si>
    <t xml:space="preserve"> Q.     1.</t>
  </si>
  <si>
    <t xml:space="preserve">      - splatná</t>
  </si>
  <si>
    <t xml:space="preserve">      - odložená</t>
  </si>
  <si>
    <t xml:space="preserve">     **</t>
  </si>
  <si>
    <t>Výsledek hospodaření za běžnou činnost</t>
  </si>
  <si>
    <t xml:space="preserve">    XIII.</t>
  </si>
  <si>
    <t>Mimořádné výnosy</t>
  </si>
  <si>
    <t xml:space="preserve"> R.</t>
  </si>
  <si>
    <t>Mimořádné náklady</t>
  </si>
  <si>
    <t xml:space="preserve"> S.</t>
  </si>
  <si>
    <t>Daň z příjmů z mimořádné činnosti</t>
  </si>
  <si>
    <t xml:space="preserve"> S.     1</t>
  </si>
  <si>
    <t>Mimořádný výsledek hospodaření</t>
  </si>
  <si>
    <t xml:space="preserve"> T.</t>
  </si>
  <si>
    <t>Převod podílu na VH společníkům</t>
  </si>
  <si>
    <t xml:space="preserve">    ***</t>
  </si>
  <si>
    <t>Výsledek hospodaření za účetní období</t>
  </si>
  <si>
    <t>—–—–—–—–—–—–—–—–—–—–</t>
  </si>
  <si>
    <t>Rok</t>
  </si>
  <si>
    <t>Položka</t>
  </si>
  <si>
    <t>Odpisy</t>
  </si>
  <si>
    <t>Provozní výnosy celkem</t>
  </si>
  <si>
    <t>Náklady:</t>
  </si>
  <si>
    <t xml:space="preserve"> - na prod. zboží</t>
  </si>
  <si>
    <t xml:space="preserve"> - osobní</t>
  </si>
  <si>
    <t xml:space="preserve"> - odpisy</t>
  </si>
  <si>
    <t xml:space="preserve"> - výkonová spotřeba</t>
  </si>
  <si>
    <t xml:space="preserve"> - daně a poplatky</t>
  </si>
  <si>
    <t xml:space="preserve"> - ostatní náklady</t>
  </si>
  <si>
    <t>Zisk provozní</t>
  </si>
  <si>
    <t>Finanční výnosy</t>
  </si>
  <si>
    <t>Zisk před daněmi</t>
  </si>
  <si>
    <t>Daně</t>
  </si>
  <si>
    <t>Zisk po daních</t>
  </si>
  <si>
    <t>Sazba daně z příjmů práv.osob</t>
  </si>
  <si>
    <t>Podíly ze zisku pro vlastníky</t>
  </si>
  <si>
    <t>Plánovaná rozvaha</t>
  </si>
  <si>
    <t>AKTIVA (tis. Kč)</t>
  </si>
  <si>
    <t>Dlouhod. hmot. a nehmot. maj.</t>
  </si>
  <si>
    <t>Pohledávky</t>
  </si>
  <si>
    <t>Peníze (pokladna+účet)</t>
  </si>
  <si>
    <t>Fondy ze zisku (RF,neroz.zisk)</t>
  </si>
  <si>
    <t>VH běžného roku</t>
  </si>
  <si>
    <t xml:space="preserve">   Závazky vůči dodavatelům</t>
  </si>
  <si>
    <t xml:space="preserve">   Závazky vůči zaměstnancům</t>
  </si>
  <si>
    <t xml:space="preserve">   Ostatní krátkodobé závazky</t>
  </si>
  <si>
    <t>Bankovní úvěry</t>
  </si>
  <si>
    <t>Plánovaný výkaz cash flow</t>
  </si>
  <si>
    <t>Počáteční stav peněž. prostř.</t>
  </si>
  <si>
    <t>Zisk po zdanění</t>
  </si>
  <si>
    <t>Úprava o nepeněžní operace</t>
  </si>
  <si>
    <t>Změna zásob</t>
  </si>
  <si>
    <t>Změna pohledávek</t>
  </si>
  <si>
    <t>Změna krátkodobých závazků</t>
  </si>
  <si>
    <t>Provozní cash flow</t>
  </si>
  <si>
    <t>Investiční výdaje</t>
  </si>
  <si>
    <t>Investiční cash flow</t>
  </si>
  <si>
    <t>Změna bankovních úvěrů</t>
  </si>
  <si>
    <t>Výplata podílů na zisku</t>
  </si>
  <si>
    <t>Finanční cash flow</t>
  </si>
  <si>
    <t>ČISTÉ CELKOVÉ CF</t>
  </si>
  <si>
    <t>Konečný stav pen. prostředků</t>
  </si>
  <si>
    <t>Volné cash flow (FCF)</t>
  </si>
  <si>
    <t>Pokračující hodnota</t>
  </si>
  <si>
    <t>a)</t>
  </si>
  <si>
    <t>b)</t>
  </si>
  <si>
    <t>c)</t>
  </si>
  <si>
    <t>Stálá renta</t>
  </si>
  <si>
    <t>Parametric-ký vzorec</t>
  </si>
  <si>
    <t>Exit value</t>
  </si>
  <si>
    <t>PASIVA</t>
  </si>
  <si>
    <t>PASIVA CELKEM</t>
  </si>
  <si>
    <t>PASIVA (tis. Kč)</t>
  </si>
  <si>
    <t>Změna vlastního kapitálu</t>
  </si>
  <si>
    <t xml:space="preserve">           2.</t>
  </si>
  <si>
    <t>Příklad k procvičení</t>
  </si>
  <si>
    <t>Plánovaný výkaz zisku a ztráty</t>
  </si>
  <si>
    <t>INFORMACE PRO OCENĚNÍ</t>
  </si>
  <si>
    <t>a) Rozdělení majetku na nutný a nenutný</t>
  </si>
  <si>
    <t>Provozně nenutný majetek:</t>
  </si>
  <si>
    <t>b) Další informace</t>
  </si>
  <si>
    <t>Tempo růstu v 2. fázi</t>
  </si>
  <si>
    <t xml:space="preserve"> a) Dlouhodobý finanční majetek</t>
  </si>
  <si>
    <t xml:space="preserve"> b) Peníze (pokladna + účty) nad 10 mil. Kč</t>
  </si>
  <si>
    <t>Předpokládáme, že tržní hodnota cenných papírů by odpovídala jejich účetní hodnotě.</t>
  </si>
  <si>
    <t>Rentabilita investic v 2. fázi</t>
  </si>
  <si>
    <t>Pro exit value:</t>
  </si>
  <si>
    <t>Tržní cena / Provozní zisk po dani</t>
  </si>
  <si>
    <t>à</t>
  </si>
  <si>
    <t>(prognóza nekonční v extrémním bodě hospodářského cyklu)</t>
  </si>
  <si>
    <t>Auditovaná finanční závěrka (rozvaha, výsledovka) za poslední rok</t>
  </si>
  <si>
    <t>Finanční plán (rozvaha, výsledovka, výkaz CF) na pět let</t>
  </si>
  <si>
    <t>Další informace potřebné pro ocenění</t>
  </si>
  <si>
    <t>výpočtu pokračující hodnoty:</t>
  </si>
  <si>
    <t>List Výsledky obsahuje hlavní výsledky, podle kterých zkontrolujete správnost svých výpočtů.</t>
  </si>
  <si>
    <t>KONTROLNÍ VÝSLEDKY (tis. Kč)</t>
  </si>
  <si>
    <t>Provozně nutný investovaný kapitál celkem</t>
  </si>
  <si>
    <t>Výsledná hodnota vlastního kapitálu</t>
  </si>
  <si>
    <t>Jsou k dispozici tyto podklady:</t>
  </si>
  <si>
    <t>c) PH počítaná pomocí parametrického vzorce</t>
  </si>
  <si>
    <t>d) PH počítaná jako "exit value"</t>
  </si>
  <si>
    <t>b) PH počítaná pomocí Gordonova vzorce (v posledním  roce plánu je již stabilizovaná</t>
  </si>
  <si>
    <t xml:space="preserve">    míra investic)</t>
  </si>
  <si>
    <t xml:space="preserve">Ocenit podnik metodou DCF entity, a to při čtyřech způsobech </t>
  </si>
  <si>
    <t>Gordonův vzorec</t>
  </si>
  <si>
    <t>d)</t>
  </si>
  <si>
    <t>Výsledovka (tis. Kč)</t>
  </si>
  <si>
    <t>CF (tis. Kč)</t>
  </si>
  <si>
    <t>Pro parametrický a Gordonův vzorec:</t>
  </si>
  <si>
    <t>OCENĚNÍ PODNIKU ALFA METODOU DCF</t>
  </si>
  <si>
    <t>FINANČNÍ PLÁN SPOLEČNOSTI ALFA</t>
  </si>
  <si>
    <t>Průměrné vážené náklady kapitálu</t>
  </si>
  <si>
    <t xml:space="preserve"> Pro zjednodušení budou stabilní.</t>
  </si>
  <si>
    <t>Informace o provozně nutném a nenutném majetku (výkazy ale rozdělené nejsou)</t>
  </si>
  <si>
    <t>Poznámka: před výpočtem volného cash flow vždy nejprve vyčíslete investovaný kapitál prov. nutný.</t>
  </si>
  <si>
    <t>Z praktických důvodů počítáno z posledního vykázaného zisku před zamýšleným prodejem.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</si>
</sst>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#,##0_)"/>
    <numFmt numFmtId="170" formatCode="#,##0.0"/>
    <numFmt numFmtId="171" formatCode="#,##0.000"/>
    <numFmt numFmtId="172" formatCode="General_)"/>
    <numFmt numFmtId="173" formatCode="mmm\-yy_)"/>
    <numFmt numFmtId="174" formatCode="0.000000"/>
    <numFmt numFmtId="175" formatCode="0.000%"/>
    <numFmt numFmtId="176" formatCode="0.0000000"/>
    <numFmt numFmtId="177" formatCode="0.00_)"/>
    <numFmt numFmtId="178" formatCode="#,##0_);\(#,##0\)"/>
    <numFmt numFmtId="179" formatCode="0.0000_)"/>
    <numFmt numFmtId="180" formatCode="0.0000%"/>
    <numFmt numFmtId="181" formatCode="0.00000%"/>
    <numFmt numFmtId="182" formatCode="#,##0.0000"/>
    <numFmt numFmtId="183" formatCode="#,##0.00000"/>
    <numFmt numFmtId="184" formatCode="#,##0.000000"/>
    <numFmt numFmtId="185" formatCode="#,##0.0000000"/>
  </numFmts>
  <fonts count="66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16"/>
      <color indexed="10"/>
      <name val="Times New Roman CE"/>
      <family val="1"/>
    </font>
    <font>
      <b/>
      <sz val="10"/>
      <color indexed="17"/>
      <name val="Times New Roman CE"/>
      <family val="1"/>
    </font>
    <font>
      <b/>
      <sz val="12"/>
      <color indexed="17"/>
      <name val="Times New Roman CE"/>
      <family val="1"/>
    </font>
    <font>
      <b/>
      <sz val="14"/>
      <color indexed="12"/>
      <name val="Times New Roman CE"/>
      <family val="1"/>
    </font>
    <font>
      <sz val="14"/>
      <color indexed="12"/>
      <name val="Times New Roman CE"/>
      <family val="1"/>
    </font>
    <font>
      <b/>
      <sz val="12"/>
      <color indexed="12"/>
      <name val="Times New Roman CE"/>
      <family val="0"/>
    </font>
    <font>
      <b/>
      <i/>
      <u val="single"/>
      <sz val="18"/>
      <color indexed="10"/>
      <name val="Times New Roman CE"/>
      <family val="1"/>
    </font>
    <font>
      <i/>
      <sz val="18"/>
      <color indexed="17"/>
      <name val="Times New Roman CE"/>
      <family val="1"/>
    </font>
    <font>
      <i/>
      <sz val="12"/>
      <color indexed="17"/>
      <name val="Times New Roman CE"/>
      <family val="1"/>
    </font>
    <font>
      <b/>
      <u val="single"/>
      <sz val="12"/>
      <color indexed="12"/>
      <name val="Times New Roman CE"/>
      <family val="1"/>
    </font>
    <font>
      <b/>
      <sz val="14"/>
      <color indexed="45"/>
      <name val="Wingdings"/>
      <family val="0"/>
    </font>
    <font>
      <u val="single"/>
      <sz val="9"/>
      <color indexed="12"/>
      <name val="Times New Roman CE"/>
      <family val="0"/>
    </font>
    <font>
      <u val="single"/>
      <sz val="9"/>
      <color indexed="36"/>
      <name val="Times New Roman CE"/>
      <family val="0"/>
    </font>
    <font>
      <b/>
      <i/>
      <u val="single"/>
      <sz val="18"/>
      <color indexed="56"/>
      <name val="Times New Roman CE"/>
      <family val="1"/>
    </font>
    <font>
      <sz val="10"/>
      <name val="Arial CE"/>
      <family val="2"/>
    </font>
    <font>
      <b/>
      <sz val="12"/>
      <color indexed="18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10"/>
      <name val="Wingdings"/>
      <family val="0"/>
    </font>
    <font>
      <b/>
      <sz val="10"/>
      <color indexed="16"/>
      <name val="Arial CE"/>
      <family val="2"/>
    </font>
    <font>
      <b/>
      <sz val="12"/>
      <color indexed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Times New Roman CE"/>
      <family val="0"/>
    </font>
    <font>
      <b/>
      <sz val="10"/>
      <color indexed="1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Times New Roman CE"/>
      <family val="0"/>
    </font>
    <font>
      <b/>
      <sz val="10"/>
      <color rgb="FF00206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2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9" fontId="2" fillId="0" borderId="14" xfId="49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1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69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3" fontId="6" fillId="0" borderId="23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169" fontId="4" fillId="0" borderId="23" xfId="0" applyNumberFormat="1" applyFont="1" applyBorder="1" applyAlignment="1">
      <alignment/>
    </xf>
    <xf numFmtId="169" fontId="6" fillId="0" borderId="23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169" fontId="5" fillId="0" borderId="23" xfId="0" applyNumberFormat="1" applyFont="1" applyFill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169" fontId="4" fillId="0" borderId="25" xfId="0" applyNumberFormat="1" applyFont="1" applyBorder="1" applyAlignment="1">
      <alignment/>
    </xf>
    <xf numFmtId="169" fontId="6" fillId="0" borderId="25" xfId="0" applyNumberFormat="1" applyFont="1" applyFill="1" applyBorder="1" applyAlignment="1" applyProtection="1">
      <alignment/>
      <protection/>
    </xf>
    <xf numFmtId="3" fontId="5" fillId="0" borderId="24" xfId="0" applyNumberFormat="1" applyFont="1" applyFill="1" applyBorder="1" applyAlignment="1" applyProtection="1">
      <alignment/>
      <protection/>
    </xf>
    <xf numFmtId="169" fontId="5" fillId="0" borderId="25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69" fontId="7" fillId="0" borderId="23" xfId="0" applyNumberFormat="1" applyFont="1" applyBorder="1" applyAlignment="1">
      <alignment/>
    </xf>
    <xf numFmtId="0" fontId="2" fillId="0" borderId="0" xfId="0" applyFont="1" applyBorder="1" applyAlignment="1">
      <alignment/>
    </xf>
    <xf numFmtId="9" fontId="2" fillId="0" borderId="0" xfId="49" applyFont="1" applyBorder="1" applyAlignment="1">
      <alignment/>
    </xf>
    <xf numFmtId="169" fontId="6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9" fontId="0" fillId="0" borderId="0" xfId="49" applyFont="1" applyAlignment="1">
      <alignment/>
    </xf>
    <xf numFmtId="0" fontId="0" fillId="0" borderId="0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9" fillId="0" borderId="28" xfId="0" applyFont="1" applyFill="1" applyBorder="1" applyAlignment="1" applyProtection="1">
      <alignment horizontal="center"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center"/>
      <protection/>
    </xf>
    <xf numFmtId="0" fontId="9" fillId="0" borderId="33" xfId="0" applyFont="1" applyFill="1" applyBorder="1" applyAlignment="1" applyProtection="1">
      <alignment horizontal="center"/>
      <protection/>
    </xf>
    <xf numFmtId="1" fontId="9" fillId="0" borderId="28" xfId="0" applyNumberFormat="1" applyFont="1" applyFill="1" applyBorder="1" applyAlignment="1" applyProtection="1">
      <alignment horizontal="center"/>
      <protection/>
    </xf>
    <xf numFmtId="1" fontId="9" fillId="0" borderId="29" xfId="0" applyNumberFormat="1" applyFont="1" applyFill="1" applyBorder="1" applyAlignment="1" applyProtection="1">
      <alignment horizontal="center"/>
      <protection/>
    </xf>
    <xf numFmtId="1" fontId="9" fillId="0" borderId="30" xfId="0" applyNumberFormat="1" applyFont="1" applyFill="1" applyBorder="1" applyAlignment="1" applyProtection="1">
      <alignment horizontal="center"/>
      <protection/>
    </xf>
    <xf numFmtId="1" fontId="9" fillId="0" borderId="31" xfId="0" applyNumberFormat="1" applyFont="1" applyFill="1" applyBorder="1" applyAlignment="1" applyProtection="1">
      <alignment horizontal="center"/>
      <protection/>
    </xf>
    <xf numFmtId="1" fontId="9" fillId="0" borderId="32" xfId="0" applyNumberFormat="1" applyFont="1" applyFill="1" applyBorder="1" applyAlignment="1" applyProtection="1">
      <alignment horizontal="center"/>
      <protection/>
    </xf>
    <xf numFmtId="1" fontId="9" fillId="0" borderId="33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9" xfId="0" applyFont="1" applyBorder="1" applyAlignment="1">
      <alignment horizontal="centerContinuous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3" fontId="1" fillId="0" borderId="0" xfId="0" applyNumberFormat="1" applyFont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2" fillId="0" borderId="27" xfId="0" applyFont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7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31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169" fontId="4" fillId="0" borderId="32" xfId="0" applyNumberFormat="1" applyFont="1" applyBorder="1" applyAlignment="1">
      <alignment/>
    </xf>
    <xf numFmtId="169" fontId="4" fillId="0" borderId="33" xfId="0" applyNumberFormat="1" applyFont="1" applyBorder="1" applyAlignment="1">
      <alignment/>
    </xf>
    <xf numFmtId="3" fontId="5" fillId="0" borderId="31" xfId="0" applyNumberFormat="1" applyFont="1" applyFill="1" applyBorder="1" applyAlignment="1" applyProtection="1">
      <alignment/>
      <protection/>
    </xf>
    <xf numFmtId="3" fontId="5" fillId="0" borderId="32" xfId="0" applyNumberFormat="1" applyFont="1" applyFill="1" applyBorder="1" applyAlignment="1" applyProtection="1">
      <alignment/>
      <protection/>
    </xf>
    <xf numFmtId="3" fontId="6" fillId="0" borderId="32" xfId="0" applyNumberFormat="1" applyFont="1" applyFill="1" applyBorder="1" applyAlignment="1" applyProtection="1">
      <alignment horizontal="center"/>
      <protection/>
    </xf>
    <xf numFmtId="169" fontId="5" fillId="0" borderId="32" xfId="0" applyNumberFormat="1" applyFont="1" applyFill="1" applyBorder="1" applyAlignment="1" applyProtection="1">
      <alignment/>
      <protection/>
    </xf>
    <xf numFmtId="169" fontId="5" fillId="0" borderId="33" xfId="0" applyNumberFormat="1" applyFont="1" applyFill="1" applyBorder="1" applyAlignment="1" applyProtection="1">
      <alignment/>
      <protection/>
    </xf>
    <xf numFmtId="0" fontId="0" fillId="0" borderId="0" xfId="47" applyFont="1">
      <alignment/>
      <protection/>
    </xf>
    <xf numFmtId="0" fontId="22" fillId="0" borderId="0" xfId="47">
      <alignment/>
      <protection/>
    </xf>
    <xf numFmtId="0" fontId="23" fillId="0" borderId="0" xfId="47" applyFont="1" applyFill="1" applyAlignment="1" applyProtection="1">
      <alignment vertical="top"/>
      <protection/>
    </xf>
    <xf numFmtId="0" fontId="24" fillId="0" borderId="0" xfId="47" applyFont="1" applyFill="1" applyBorder="1" applyAlignment="1" applyProtection="1">
      <alignment/>
      <protection/>
    </xf>
    <xf numFmtId="0" fontId="24" fillId="0" borderId="0" xfId="47" applyFont="1" applyFill="1" applyBorder="1">
      <alignment/>
      <protection/>
    </xf>
    <xf numFmtId="0" fontId="25" fillId="0" borderId="0" xfId="47" applyFont="1" applyFill="1" applyBorder="1">
      <alignment/>
      <protection/>
    </xf>
    <xf numFmtId="0" fontId="22" fillId="0" borderId="0" xfId="47" applyBorder="1">
      <alignment/>
      <protection/>
    </xf>
    <xf numFmtId="0" fontId="22" fillId="0" borderId="0" xfId="47" applyFont="1" applyBorder="1">
      <alignment/>
      <protection/>
    </xf>
    <xf numFmtId="0" fontId="23" fillId="0" borderId="0" xfId="47" applyFont="1" applyFill="1" applyAlignment="1" applyProtection="1">
      <alignment/>
      <protection/>
    </xf>
    <xf numFmtId="164" fontId="0" fillId="0" borderId="23" xfId="47" applyNumberFormat="1" applyFont="1" applyFill="1" applyBorder="1" applyProtection="1">
      <alignment/>
      <protection/>
    </xf>
    <xf numFmtId="0" fontId="0" fillId="0" borderId="11" xfId="47" applyFont="1" applyFill="1" applyBorder="1" applyAlignment="1" applyProtection="1">
      <alignment/>
      <protection/>
    </xf>
    <xf numFmtId="164" fontId="0" fillId="0" borderId="27" xfId="47" applyNumberFormat="1" applyFont="1" applyFill="1" applyBorder="1" applyProtection="1">
      <alignment/>
      <protection/>
    </xf>
    <xf numFmtId="0" fontId="0" fillId="0" borderId="13" xfId="47" applyFont="1" applyFill="1" applyBorder="1" applyAlignment="1" applyProtection="1">
      <alignment/>
      <protection/>
    </xf>
    <xf numFmtId="164" fontId="0" fillId="0" borderId="16" xfId="49" applyNumberFormat="1" applyFont="1" applyBorder="1" applyAlignment="1">
      <alignment/>
    </xf>
    <xf numFmtId="164" fontId="0" fillId="0" borderId="0" xfId="47" applyNumberFormat="1" applyFont="1">
      <alignment/>
      <protection/>
    </xf>
    <xf numFmtId="0" fontId="18" fillId="0" borderId="0" xfId="47" applyFont="1" applyAlignment="1">
      <alignment horizontal="centerContinuous"/>
      <protection/>
    </xf>
    <xf numFmtId="0" fontId="22" fillId="0" borderId="0" xfId="47" applyAlignment="1">
      <alignment horizontal="centerContinuous"/>
      <protection/>
    </xf>
    <xf numFmtId="164" fontId="0" fillId="0" borderId="26" xfId="47" applyNumberFormat="1" applyFont="1" applyFill="1" applyBorder="1" applyProtection="1">
      <alignment/>
      <protection/>
    </xf>
    <xf numFmtId="0" fontId="0" fillId="0" borderId="0" xfId="47" applyFont="1" applyBorder="1">
      <alignment/>
      <protection/>
    </xf>
    <xf numFmtId="164" fontId="0" fillId="0" borderId="20" xfId="47" applyNumberFormat="1" applyFont="1" applyFill="1" applyBorder="1" applyProtection="1">
      <alignment/>
      <protection/>
    </xf>
    <xf numFmtId="0" fontId="0" fillId="0" borderId="0" xfId="47" applyFont="1" applyFill="1" applyAlignment="1" applyProtection="1">
      <alignment/>
      <protection/>
    </xf>
    <xf numFmtId="0" fontId="0" fillId="0" borderId="18" xfId="47" applyFont="1" applyFill="1" applyBorder="1" applyAlignment="1" applyProtection="1">
      <alignment/>
      <protection/>
    </xf>
    <xf numFmtId="0" fontId="0" fillId="0" borderId="19" xfId="47" applyFont="1" applyBorder="1">
      <alignment/>
      <protection/>
    </xf>
    <xf numFmtId="0" fontId="0" fillId="0" borderId="23" xfId="47" applyFont="1" applyBorder="1">
      <alignment/>
      <protection/>
    </xf>
    <xf numFmtId="0" fontId="26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27" fillId="0" borderId="0" xfId="0" applyFont="1" applyAlignment="1">
      <alignment/>
    </xf>
    <xf numFmtId="0" fontId="10" fillId="0" borderId="23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 horizontal="center"/>
      <protection/>
    </xf>
    <xf numFmtId="0" fontId="28" fillId="0" borderId="23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169" fontId="0" fillId="0" borderId="16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178" fontId="0" fillId="0" borderId="20" xfId="0" applyNumberFormat="1" applyFont="1" applyFill="1" applyBorder="1" applyAlignment="1" applyProtection="1">
      <alignment/>
      <protection/>
    </xf>
    <xf numFmtId="0" fontId="64" fillId="0" borderId="0" xfId="0" applyFont="1" applyAlignment="1">
      <alignment/>
    </xf>
    <xf numFmtId="1" fontId="64" fillId="0" borderId="0" xfId="0" applyNumberFormat="1" applyFont="1" applyAlignment="1" applyProtection="1">
      <alignment/>
      <protection/>
    </xf>
    <xf numFmtId="0" fontId="0" fillId="0" borderId="23" xfId="47" applyFont="1" applyFill="1" applyBorder="1" applyAlignment="1" applyProtection="1">
      <alignment/>
      <protection/>
    </xf>
    <xf numFmtId="0" fontId="2" fillId="0" borderId="0" xfId="47" applyFont="1">
      <alignment/>
      <protection/>
    </xf>
    <xf numFmtId="0" fontId="65" fillId="0" borderId="0" xfId="0" applyFont="1" applyAlignment="1">
      <alignment/>
    </xf>
    <xf numFmtId="0" fontId="21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DCF_AAA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zoomScalePageLayoutView="0" workbookViewId="0" topLeftCell="A1">
      <selection activeCell="A1" sqref="A1:I1"/>
    </sheetView>
  </sheetViews>
  <sheetFormatPr defaultColWidth="8.796875" defaultRowHeight="15"/>
  <cols>
    <col min="1" max="1" width="2.09765625" style="0" customWidth="1"/>
    <col min="9" max="9" width="14.69921875" style="0" customWidth="1"/>
  </cols>
  <sheetData>
    <row r="1" spans="1:9" ht="23.25">
      <c r="A1" s="177" t="s">
        <v>345</v>
      </c>
      <c r="B1" s="177"/>
      <c r="C1" s="177"/>
      <c r="D1" s="177"/>
      <c r="E1" s="177"/>
      <c r="F1" s="177"/>
      <c r="G1" s="177"/>
      <c r="H1" s="177"/>
      <c r="I1" s="177"/>
    </row>
    <row r="2" spans="1:10" ht="23.25">
      <c r="A2" s="176" t="s">
        <v>311</v>
      </c>
      <c r="B2" s="176"/>
      <c r="C2" s="176"/>
      <c r="D2" s="176"/>
      <c r="E2" s="176"/>
      <c r="F2" s="176"/>
      <c r="G2" s="176"/>
      <c r="H2" s="176"/>
      <c r="I2" s="176"/>
      <c r="J2" s="118"/>
    </row>
    <row r="3" spans="2:3" ht="15.75">
      <c r="B3" s="118"/>
      <c r="C3" s="118"/>
    </row>
    <row r="4" spans="2:3" ht="7.5" customHeight="1">
      <c r="B4" s="118"/>
      <c r="C4" s="118"/>
    </row>
    <row r="5" spans="2:3" ht="15.75">
      <c r="B5" s="124" t="s">
        <v>334</v>
      </c>
      <c r="C5" s="118"/>
    </row>
    <row r="6" spans="2:3" ht="15.75">
      <c r="B6" s="119"/>
      <c r="C6" s="118"/>
    </row>
    <row r="7" spans="2:3" ht="15" customHeight="1">
      <c r="B7" s="161" t="s">
        <v>324</v>
      </c>
      <c r="C7" s="119" t="s">
        <v>326</v>
      </c>
    </row>
    <row r="8" spans="2:3" ht="15" customHeight="1">
      <c r="B8" s="161" t="s">
        <v>324</v>
      </c>
      <c r="C8" s="118" t="s">
        <v>327</v>
      </c>
    </row>
    <row r="9" spans="2:3" ht="15" customHeight="1">
      <c r="B9" s="161"/>
      <c r="C9" s="162" t="s">
        <v>325</v>
      </c>
    </row>
    <row r="10" spans="2:3" ht="15" customHeight="1">
      <c r="B10" s="161" t="s">
        <v>324</v>
      </c>
      <c r="C10" s="119" t="s">
        <v>349</v>
      </c>
    </row>
    <row r="11" spans="2:3" ht="15" customHeight="1">
      <c r="B11" s="161" t="s">
        <v>324</v>
      </c>
      <c r="C11" s="118" t="s">
        <v>328</v>
      </c>
    </row>
    <row r="12" spans="2:3" ht="15" customHeight="1">
      <c r="B12" s="123"/>
      <c r="C12" s="118"/>
    </row>
    <row r="13" spans="2:3" ht="15.75">
      <c r="B13" s="124" t="s">
        <v>0</v>
      </c>
      <c r="C13" s="118" t="s">
        <v>339</v>
      </c>
    </row>
    <row r="14" spans="2:3" ht="15.75">
      <c r="B14" s="123"/>
      <c r="C14" s="118" t="s">
        <v>329</v>
      </c>
    </row>
    <row r="15" spans="2:3" ht="15.75">
      <c r="B15" s="123"/>
      <c r="C15" s="118"/>
    </row>
    <row r="16" spans="2:3" ht="15.75">
      <c r="B16" s="123"/>
      <c r="C16" s="118" t="s">
        <v>1</v>
      </c>
    </row>
    <row r="17" spans="2:3" ht="15.75">
      <c r="B17" s="123"/>
      <c r="C17" s="118" t="s">
        <v>337</v>
      </c>
    </row>
    <row r="18" spans="2:3" ht="15.75">
      <c r="B18" s="123"/>
      <c r="C18" s="118" t="s">
        <v>338</v>
      </c>
    </row>
    <row r="19" spans="2:3" ht="15.75">
      <c r="B19" s="123"/>
      <c r="C19" s="118" t="s">
        <v>335</v>
      </c>
    </row>
    <row r="20" spans="2:3" ht="15.75">
      <c r="B20" s="123"/>
      <c r="C20" s="118" t="s">
        <v>336</v>
      </c>
    </row>
    <row r="21" spans="2:3" ht="9" customHeight="1">
      <c r="B21" s="118"/>
      <c r="C21" s="118"/>
    </row>
    <row r="22" ht="15.75">
      <c r="C22" s="120" t="str">
        <f>"Ocenění bude provedeno k 1.1. "&amp;FIXED(rok,0,TRUE)</f>
        <v>Ocenění bude provedeno k 1.1. 2010</v>
      </c>
    </row>
    <row r="23" ht="15.75">
      <c r="C23" s="120"/>
    </row>
    <row r="24" spans="2:3" ht="15.75">
      <c r="B24" s="163" t="s">
        <v>330</v>
      </c>
      <c r="C24" s="120"/>
    </row>
    <row r="25" spans="2:3" ht="15.75">
      <c r="B25" s="163"/>
      <c r="C25" s="120"/>
    </row>
    <row r="26" spans="2:3" ht="15.75">
      <c r="B26" s="175" t="s">
        <v>350</v>
      </c>
      <c r="C26" s="120"/>
    </row>
    <row r="27" ht="9" customHeight="1"/>
    <row r="28" ht="23.25">
      <c r="B28" s="121" t="s">
        <v>2</v>
      </c>
    </row>
    <row r="48" spans="2:3" ht="15.75">
      <c r="B48" s="171" t="s">
        <v>3</v>
      </c>
      <c r="C48" s="172">
        <v>2010</v>
      </c>
    </row>
    <row r="49" ht="15.75">
      <c r="C49" s="122"/>
    </row>
  </sheetData>
  <sheetProtection/>
  <mergeCells count="2">
    <mergeCell ref="A2:I2"/>
    <mergeCell ref="A1:I1"/>
  </mergeCells>
  <printOptions headings="1" horizontalCentered="1"/>
  <pageMargins left="0.5905511811023623" right="0.5905511811023623" top="0.984251968503937" bottom="0.984251968503937" header="0.5118110236220472" footer="0.5118110236220472"/>
  <pageSetup horizontalDpi="180" verticalDpi="18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72"/>
  <sheetViews>
    <sheetView showGridLines="0" zoomScalePageLayoutView="0" workbookViewId="0" topLeftCell="A1">
      <selection activeCell="A1" sqref="A1"/>
    </sheetView>
  </sheetViews>
  <sheetFormatPr defaultColWidth="8.796875" defaultRowHeight="13.5" customHeight="1"/>
  <cols>
    <col min="1" max="1" width="6" style="0" customWidth="1"/>
    <col min="2" max="2" width="33.5" style="0" customWidth="1"/>
    <col min="3" max="3" width="4.5" style="0" customWidth="1"/>
    <col min="4" max="4" width="9.5" style="0" customWidth="1"/>
    <col min="5" max="6" width="9.5" style="53" customWidth="1"/>
    <col min="7" max="7" width="9.69921875" style="53" customWidth="1"/>
  </cols>
  <sheetData>
    <row r="1" spans="1:4" ht="17.25" customHeight="1" thickBot="1">
      <c r="A1" s="92" t="str">
        <f>"Alfa: Rozvaha - aktiva (údaje v tis. Kč k 31.12."&amp;FIXED(rok-1,0,TRUE)&amp;")"</f>
        <v>Alfa: Rozvaha - aktiva (údaje v tis. Kč k 31.12.2009)</v>
      </c>
      <c r="B1" s="49"/>
      <c r="C1" s="49"/>
      <c r="D1" s="49"/>
    </row>
    <row r="2" spans="1:7" ht="13.5" customHeight="1">
      <c r="A2" s="93" t="s">
        <v>4</v>
      </c>
      <c r="B2" s="94" t="s">
        <v>5</v>
      </c>
      <c r="C2" s="94" t="s">
        <v>6</v>
      </c>
      <c r="D2" s="94" t="s">
        <v>7</v>
      </c>
      <c r="E2" s="94" t="s">
        <v>7</v>
      </c>
      <c r="F2" s="94" t="s">
        <v>7</v>
      </c>
      <c r="G2" s="95" t="s">
        <v>8</v>
      </c>
    </row>
    <row r="3" spans="1:7" ht="13.5" customHeight="1" thickBot="1">
      <c r="A3" s="96" t="s">
        <v>9</v>
      </c>
      <c r="B3" s="97" t="s">
        <v>10</v>
      </c>
      <c r="C3" s="97" t="s">
        <v>11</v>
      </c>
      <c r="D3" s="97" t="s">
        <v>12</v>
      </c>
      <c r="E3" s="97" t="s">
        <v>13</v>
      </c>
      <c r="F3" s="97" t="s">
        <v>14</v>
      </c>
      <c r="G3" s="98" t="s">
        <v>15</v>
      </c>
    </row>
    <row r="4" spans="1:10" ht="13.5" customHeight="1">
      <c r="A4" s="69"/>
      <c r="B4" s="66" t="s">
        <v>16</v>
      </c>
      <c r="C4" s="67">
        <v>1</v>
      </c>
      <c r="D4" s="60">
        <f>D6+D31+D59</f>
        <v>556478.45</v>
      </c>
      <c r="E4" s="60">
        <f>E6+E31+E59</f>
        <v>-6642</v>
      </c>
      <c r="F4" s="60">
        <f>F6+F31+F59</f>
        <v>549836.45</v>
      </c>
      <c r="G4" s="65">
        <f>G6+G31+G59</f>
        <v>467654.81799999997</v>
      </c>
      <c r="I4" s="76"/>
      <c r="J4" s="76"/>
    </row>
    <row r="5" spans="1:9" ht="13.5" customHeight="1">
      <c r="A5" s="70" t="s">
        <v>17</v>
      </c>
      <c r="B5" s="66" t="s">
        <v>18</v>
      </c>
      <c r="C5" s="67">
        <v>2</v>
      </c>
      <c r="D5" s="72"/>
      <c r="E5" s="57"/>
      <c r="F5" s="57"/>
      <c r="G5" s="62"/>
      <c r="I5" s="76"/>
    </row>
    <row r="6" spans="1:7" ht="13.5" customHeight="1">
      <c r="A6" s="70" t="s">
        <v>19</v>
      </c>
      <c r="B6" s="66" t="s">
        <v>20</v>
      </c>
      <c r="C6" s="67">
        <v>3</v>
      </c>
      <c r="D6" s="60">
        <f>D7+D15+D25</f>
        <v>273456</v>
      </c>
      <c r="E6" s="60">
        <f>E7+E15+E25</f>
        <v>-6642</v>
      </c>
      <c r="F6" s="60">
        <f>F7+F15+F25</f>
        <v>266814</v>
      </c>
      <c r="G6" s="65">
        <f>G7+G15+G25</f>
        <v>301274</v>
      </c>
    </row>
    <row r="7" spans="1:7" ht="13.5" customHeight="1">
      <c r="A7" s="71" t="s">
        <v>21</v>
      </c>
      <c r="B7" s="68" t="s">
        <v>22</v>
      </c>
      <c r="C7" s="67">
        <v>4</v>
      </c>
      <c r="D7" s="58">
        <f>239*2</f>
        <v>478</v>
      </c>
      <c r="E7" s="58">
        <v>-98</v>
      </c>
      <c r="F7" s="57">
        <f>D7+E7</f>
        <v>380</v>
      </c>
      <c r="G7" s="62">
        <f>2*212</f>
        <v>424</v>
      </c>
    </row>
    <row r="8" spans="1:7" ht="13.5" customHeight="1" hidden="1">
      <c r="A8" s="71" t="s">
        <v>23</v>
      </c>
      <c r="B8" s="68" t="s">
        <v>24</v>
      </c>
      <c r="C8" s="67">
        <v>5</v>
      </c>
      <c r="D8" s="57"/>
      <c r="E8" s="57"/>
      <c r="F8" s="57"/>
      <c r="G8" s="62"/>
    </row>
    <row r="9" spans="1:7" ht="13.5" customHeight="1" hidden="1">
      <c r="A9" s="71" t="s">
        <v>25</v>
      </c>
      <c r="B9" s="68" t="s">
        <v>26</v>
      </c>
      <c r="C9" s="67">
        <v>6</v>
      </c>
      <c r="D9" s="57"/>
      <c r="E9" s="57"/>
      <c r="F9" s="57"/>
      <c r="G9" s="62"/>
    </row>
    <row r="10" spans="1:7" ht="13.5" customHeight="1" hidden="1">
      <c r="A10" s="71" t="s">
        <v>27</v>
      </c>
      <c r="B10" s="68" t="s">
        <v>28</v>
      </c>
      <c r="C10" s="67">
        <v>7</v>
      </c>
      <c r="D10" s="57"/>
      <c r="E10" s="57"/>
      <c r="F10" s="57"/>
      <c r="G10" s="62"/>
    </row>
    <row r="11" spans="1:7" ht="13.5" customHeight="1" hidden="1">
      <c r="A11" s="71" t="s">
        <v>29</v>
      </c>
      <c r="B11" s="68" t="s">
        <v>30</v>
      </c>
      <c r="C11" s="67">
        <v>8</v>
      </c>
      <c r="D11" s="57"/>
      <c r="E11" s="57"/>
      <c r="F11" s="57"/>
      <c r="G11" s="62"/>
    </row>
    <row r="12" spans="1:7" ht="13.5" customHeight="1" hidden="1">
      <c r="A12" s="71" t="s">
        <v>31</v>
      </c>
      <c r="B12" s="68" t="s">
        <v>32</v>
      </c>
      <c r="C12" s="67">
        <v>9</v>
      </c>
      <c r="D12" s="57"/>
      <c r="E12" s="57"/>
      <c r="F12" s="57"/>
      <c r="G12" s="62"/>
    </row>
    <row r="13" spans="1:7" ht="13.5" customHeight="1" hidden="1">
      <c r="A13" s="71" t="s">
        <v>33</v>
      </c>
      <c r="B13" s="68" t="s">
        <v>34</v>
      </c>
      <c r="C13" s="67">
        <v>10</v>
      </c>
      <c r="D13" s="57"/>
      <c r="E13" s="57"/>
      <c r="F13" s="57"/>
      <c r="G13" s="62"/>
    </row>
    <row r="14" spans="1:7" ht="13.5" customHeight="1" hidden="1">
      <c r="A14" s="71" t="s">
        <v>35</v>
      </c>
      <c r="B14" s="68" t="s">
        <v>36</v>
      </c>
      <c r="C14" s="67">
        <v>11</v>
      </c>
      <c r="D14" s="57"/>
      <c r="E14" s="57"/>
      <c r="F14" s="57"/>
      <c r="G14" s="62"/>
    </row>
    <row r="15" spans="1:9" ht="13.5" customHeight="1">
      <c r="A15" s="71" t="s">
        <v>37</v>
      </c>
      <c r="B15" s="68" t="s">
        <v>38</v>
      </c>
      <c r="C15" s="67">
        <v>12</v>
      </c>
      <c r="D15" s="58">
        <f>SUM(D16:D24)</f>
        <v>235894</v>
      </c>
      <c r="E15" s="58">
        <f>SUM(E16:E24)</f>
        <v>-6544</v>
      </c>
      <c r="F15" s="58">
        <f>SUM(F16:F24)</f>
        <v>229350</v>
      </c>
      <c r="G15" s="62">
        <f>SUM(G16:G24)</f>
        <v>213766</v>
      </c>
      <c r="I15" s="75"/>
    </row>
    <row r="16" spans="1:7" ht="13.5" customHeight="1">
      <c r="A16" s="71" t="s">
        <v>39</v>
      </c>
      <c r="B16" s="68" t="s">
        <v>40</v>
      </c>
      <c r="C16" s="67">
        <v>13</v>
      </c>
      <c r="D16" s="58">
        <v>21162</v>
      </c>
      <c r="E16" s="57">
        <v>0</v>
      </c>
      <c r="F16" s="57">
        <f>D16+E16</f>
        <v>21162</v>
      </c>
      <c r="G16" s="62">
        <v>15164</v>
      </c>
    </row>
    <row r="17" spans="1:7" ht="13.5" customHeight="1">
      <c r="A17" s="71" t="s">
        <v>25</v>
      </c>
      <c r="B17" s="68" t="s">
        <v>41</v>
      </c>
      <c r="C17" s="67">
        <v>14</v>
      </c>
      <c r="D17" s="58">
        <v>189796</v>
      </c>
      <c r="E17" s="58">
        <v>-3638</v>
      </c>
      <c r="F17" s="57">
        <f>D17+E17</f>
        <v>186158</v>
      </c>
      <c r="G17" s="62">
        <v>176380</v>
      </c>
    </row>
    <row r="18" spans="1:7" ht="13.5" customHeight="1">
      <c r="A18" s="71" t="s">
        <v>27</v>
      </c>
      <c r="B18" s="68" t="s">
        <v>42</v>
      </c>
      <c r="C18" s="67">
        <v>15</v>
      </c>
      <c r="D18" s="58">
        <v>24916</v>
      </c>
      <c r="E18" s="58">
        <v>-2906</v>
      </c>
      <c r="F18" s="57">
        <f>D18+E18</f>
        <v>22010</v>
      </c>
      <c r="G18" s="62">
        <v>22222</v>
      </c>
    </row>
    <row r="19" spans="1:7" ht="13.5" customHeight="1">
      <c r="A19" s="71" t="s">
        <v>29</v>
      </c>
      <c r="B19" s="68" t="s">
        <v>43</v>
      </c>
      <c r="C19" s="67">
        <v>16</v>
      </c>
      <c r="D19" s="58"/>
      <c r="E19" s="57"/>
      <c r="F19" s="57"/>
      <c r="G19" s="62"/>
    </row>
    <row r="20" spans="1:7" ht="13.5" customHeight="1">
      <c r="A20" s="71" t="s">
        <v>31</v>
      </c>
      <c r="B20" s="68" t="s">
        <v>44</v>
      </c>
      <c r="C20" s="67">
        <v>17</v>
      </c>
      <c r="D20" s="58"/>
      <c r="E20" s="57"/>
      <c r="F20" s="57"/>
      <c r="G20" s="62"/>
    </row>
    <row r="21" spans="1:7" ht="13.5" customHeight="1">
      <c r="A21" s="71" t="s">
        <v>33</v>
      </c>
      <c r="B21" s="68" t="s">
        <v>45</v>
      </c>
      <c r="C21" s="67">
        <v>18</v>
      </c>
      <c r="D21" s="58">
        <v>20</v>
      </c>
      <c r="E21" s="57">
        <v>0</v>
      </c>
      <c r="F21" s="57">
        <f>D21+E21</f>
        <v>20</v>
      </c>
      <c r="G21" s="62"/>
    </row>
    <row r="22" spans="1:7" ht="13.5" customHeight="1">
      <c r="A22" s="71" t="s">
        <v>35</v>
      </c>
      <c r="B22" s="68" t="s">
        <v>46</v>
      </c>
      <c r="C22" s="67">
        <v>19</v>
      </c>
      <c r="D22" s="58"/>
      <c r="E22" s="57"/>
      <c r="F22" s="57"/>
      <c r="G22" s="62"/>
    </row>
    <row r="23" spans="1:7" ht="13.5" customHeight="1">
      <c r="A23" s="71" t="s">
        <v>47</v>
      </c>
      <c r="B23" s="68" t="s">
        <v>48</v>
      </c>
      <c r="C23" s="67">
        <v>20</v>
      </c>
      <c r="D23" s="58"/>
      <c r="E23" s="57"/>
      <c r="F23" s="57"/>
      <c r="G23" s="62"/>
    </row>
    <row r="24" spans="1:7" ht="13.5" customHeight="1">
      <c r="A24" s="71" t="s">
        <v>49</v>
      </c>
      <c r="B24" s="68" t="s">
        <v>50</v>
      </c>
      <c r="C24" s="67">
        <v>21</v>
      </c>
      <c r="D24" s="58"/>
      <c r="E24" s="57"/>
      <c r="F24" s="57"/>
      <c r="G24" s="62"/>
    </row>
    <row r="25" spans="1:7" ht="13.5" customHeight="1">
      <c r="A25" s="71" t="s">
        <v>51</v>
      </c>
      <c r="B25" s="68" t="s">
        <v>52</v>
      </c>
      <c r="C25" s="67">
        <v>22</v>
      </c>
      <c r="D25" s="58">
        <f>SUM(D26:D30)</f>
        <v>37084</v>
      </c>
      <c r="E25" s="58">
        <f>SUM(E26:E30)</f>
        <v>0</v>
      </c>
      <c r="F25" s="58">
        <f>SUM(F26:F30)</f>
        <v>37084</v>
      </c>
      <c r="G25" s="63">
        <f>SUM(G26:G30)</f>
        <v>87084</v>
      </c>
    </row>
    <row r="26" spans="1:7" ht="13.5" customHeight="1">
      <c r="A26" s="71" t="s">
        <v>53</v>
      </c>
      <c r="B26" s="68" t="s">
        <v>54</v>
      </c>
      <c r="C26" s="67">
        <v>23</v>
      </c>
      <c r="D26" s="58"/>
      <c r="E26" s="57"/>
      <c r="F26" s="57"/>
      <c r="G26" s="62"/>
    </row>
    <row r="27" spans="1:7" ht="13.5" customHeight="1">
      <c r="A27" s="71" t="s">
        <v>25</v>
      </c>
      <c r="B27" s="68" t="s">
        <v>55</v>
      </c>
      <c r="C27" s="67">
        <v>24</v>
      </c>
      <c r="D27" s="58"/>
      <c r="E27" s="57"/>
      <c r="F27" s="57"/>
      <c r="G27" s="62"/>
    </row>
    <row r="28" spans="1:7" ht="13.5" customHeight="1">
      <c r="A28" s="71" t="s">
        <v>27</v>
      </c>
      <c r="B28" s="68" t="s">
        <v>56</v>
      </c>
      <c r="C28" s="67">
        <v>25</v>
      </c>
      <c r="D28" s="58">
        <f>G28-D141</f>
        <v>37084</v>
      </c>
      <c r="E28" s="57">
        <v>0</v>
      </c>
      <c r="F28" s="57">
        <f>D28+E28</f>
        <v>37084</v>
      </c>
      <c r="G28" s="62">
        <f>137084-E141</f>
        <v>87084</v>
      </c>
    </row>
    <row r="29" spans="1:7" ht="13.5" customHeight="1">
      <c r="A29" s="71" t="s">
        <v>29</v>
      </c>
      <c r="B29" s="68" t="s">
        <v>57</v>
      </c>
      <c r="C29" s="67">
        <v>26</v>
      </c>
      <c r="D29" s="58"/>
      <c r="E29" s="57"/>
      <c r="F29" s="57"/>
      <c r="G29" s="62"/>
    </row>
    <row r="30" spans="1:7" ht="13.5" customHeight="1">
      <c r="A30" s="71" t="s">
        <v>31</v>
      </c>
      <c r="B30" s="68" t="s">
        <v>58</v>
      </c>
      <c r="C30" s="67">
        <v>27</v>
      </c>
      <c r="D30" s="57"/>
      <c r="E30" s="57"/>
      <c r="F30" s="57"/>
      <c r="G30" s="62"/>
    </row>
    <row r="31" spans="1:7" ht="13.5" customHeight="1">
      <c r="A31" s="70" t="s">
        <v>59</v>
      </c>
      <c r="B31" s="66" t="s">
        <v>60</v>
      </c>
      <c r="C31" s="67">
        <v>28</v>
      </c>
      <c r="D31" s="60">
        <f>D32+D39+D45+D55</f>
        <v>283022.44999999995</v>
      </c>
      <c r="E31" s="60">
        <f>E32+E39+E45+E55</f>
        <v>0</v>
      </c>
      <c r="F31" s="60">
        <f>F32+F39+F45+F55</f>
        <v>283022.44999999995</v>
      </c>
      <c r="G31" s="65">
        <f>G32+G39+G45+G55</f>
        <v>166380.81799999997</v>
      </c>
    </row>
    <row r="32" spans="1:7" ht="13.5" customHeight="1">
      <c r="A32" s="71" t="s">
        <v>61</v>
      </c>
      <c r="B32" s="68" t="s">
        <v>62</v>
      </c>
      <c r="C32" s="67">
        <v>29</v>
      </c>
      <c r="D32" s="58">
        <f>SUM(D33:D38)</f>
        <v>201282</v>
      </c>
      <c r="E32" s="58">
        <f>SUM(E33:E38)</f>
        <v>0</v>
      </c>
      <c r="F32" s="58">
        <f>SUM(F33:F38)</f>
        <v>201282</v>
      </c>
      <c r="G32" s="63">
        <f>SUM(G33:G38)</f>
        <v>100343</v>
      </c>
    </row>
    <row r="33" spans="1:7" ht="13.5" customHeight="1">
      <c r="A33" s="71" t="s">
        <v>63</v>
      </c>
      <c r="B33" s="68" t="s">
        <v>64</v>
      </c>
      <c r="C33" s="67">
        <v>30</v>
      </c>
      <c r="D33" s="58">
        <v>228</v>
      </c>
      <c r="E33" s="57">
        <v>0</v>
      </c>
      <c r="F33" s="57">
        <f>D33+E33</f>
        <v>228</v>
      </c>
      <c r="G33" s="62"/>
    </row>
    <row r="34" spans="1:7" ht="13.5" customHeight="1">
      <c r="A34" s="71" t="s">
        <v>25</v>
      </c>
      <c r="B34" s="68" t="s">
        <v>65</v>
      </c>
      <c r="C34" s="67">
        <v>31</v>
      </c>
      <c r="D34" s="58"/>
      <c r="E34" s="57"/>
      <c r="F34" s="57"/>
      <c r="G34" s="62"/>
    </row>
    <row r="35" spans="1:7" ht="13.5" customHeight="1">
      <c r="A35" s="71" t="s">
        <v>27</v>
      </c>
      <c r="B35" s="68" t="s">
        <v>66</v>
      </c>
      <c r="C35" s="67">
        <v>32</v>
      </c>
      <c r="D35" s="58"/>
      <c r="E35" s="57"/>
      <c r="F35" s="57"/>
      <c r="G35" s="62"/>
    </row>
    <row r="36" spans="1:7" ht="13.5" customHeight="1">
      <c r="A36" s="71" t="s">
        <v>29</v>
      </c>
      <c r="B36" s="68" t="s">
        <v>67</v>
      </c>
      <c r="C36" s="67">
        <v>33</v>
      </c>
      <c r="D36" s="58"/>
      <c r="E36" s="57"/>
      <c r="F36" s="57"/>
      <c r="G36" s="62"/>
    </row>
    <row r="37" spans="1:7" ht="13.5" customHeight="1">
      <c r="A37" s="71" t="s">
        <v>31</v>
      </c>
      <c r="B37" s="68" t="s">
        <v>68</v>
      </c>
      <c r="C37" s="67">
        <v>34</v>
      </c>
      <c r="D37" s="58">
        <v>200818</v>
      </c>
      <c r="E37" s="57">
        <v>0</v>
      </c>
      <c r="F37" s="57">
        <f>D37+E37</f>
        <v>200818</v>
      </c>
      <c r="G37" s="62">
        <v>100343</v>
      </c>
    </row>
    <row r="38" spans="1:7" ht="13.5" customHeight="1">
      <c r="A38" s="71" t="s">
        <v>33</v>
      </c>
      <c r="B38" s="68" t="s">
        <v>69</v>
      </c>
      <c r="C38" s="67">
        <v>35</v>
      </c>
      <c r="D38" s="58">
        <v>236</v>
      </c>
      <c r="E38" s="57">
        <v>0</v>
      </c>
      <c r="F38" s="57">
        <f>D38+E38</f>
        <v>236</v>
      </c>
      <c r="G38" s="62"/>
    </row>
    <row r="39" spans="1:7" ht="13.5" customHeight="1">
      <c r="A39" s="71" t="s">
        <v>70</v>
      </c>
      <c r="B39" s="68" t="s">
        <v>71</v>
      </c>
      <c r="C39" s="67">
        <v>36</v>
      </c>
      <c r="D39" s="58">
        <f>SUM(D40:D44)</f>
        <v>0</v>
      </c>
      <c r="E39" s="58">
        <f>SUM(E40:E44)</f>
        <v>0</v>
      </c>
      <c r="F39" s="58">
        <f>SUM(F40:F44)</f>
        <v>0</v>
      </c>
      <c r="G39" s="62"/>
    </row>
    <row r="40" spans="1:7" ht="13.5" customHeight="1" hidden="1">
      <c r="A40" s="71" t="s">
        <v>72</v>
      </c>
      <c r="B40" s="68" t="s">
        <v>73</v>
      </c>
      <c r="C40" s="67">
        <v>37</v>
      </c>
      <c r="D40" s="58"/>
      <c r="E40" s="57"/>
      <c r="F40" s="57"/>
      <c r="G40" s="62"/>
    </row>
    <row r="41" spans="1:7" ht="13.5" customHeight="1" hidden="1">
      <c r="A41" s="71" t="s">
        <v>25</v>
      </c>
      <c r="B41" s="68" t="s">
        <v>74</v>
      </c>
      <c r="C41" s="67">
        <v>38</v>
      </c>
      <c r="D41" s="58"/>
      <c r="E41" s="57"/>
      <c r="F41" s="57"/>
      <c r="G41" s="62"/>
    </row>
    <row r="42" spans="1:7" ht="13.5" customHeight="1" hidden="1">
      <c r="A42" s="71" t="s">
        <v>27</v>
      </c>
      <c r="B42" s="68" t="s">
        <v>75</v>
      </c>
      <c r="C42" s="67">
        <v>39</v>
      </c>
      <c r="D42" s="58"/>
      <c r="E42" s="57"/>
      <c r="F42" s="57"/>
      <c r="G42" s="62"/>
    </row>
    <row r="43" spans="1:7" ht="13.5" customHeight="1" hidden="1">
      <c r="A43" s="71" t="s">
        <v>29</v>
      </c>
      <c r="B43" s="68" t="s">
        <v>76</v>
      </c>
      <c r="C43" s="67">
        <v>40</v>
      </c>
      <c r="D43" s="58"/>
      <c r="E43" s="57"/>
      <c r="F43" s="57"/>
      <c r="G43" s="62"/>
    </row>
    <row r="44" spans="1:7" ht="13.5" customHeight="1" hidden="1">
      <c r="A44" s="71" t="s">
        <v>31</v>
      </c>
      <c r="B44" s="68" t="s">
        <v>77</v>
      </c>
      <c r="C44" s="67">
        <v>41</v>
      </c>
      <c r="D44" s="58"/>
      <c r="E44" s="57"/>
      <c r="F44" s="57"/>
      <c r="G44" s="62"/>
    </row>
    <row r="45" spans="1:7" ht="13.5" customHeight="1">
      <c r="A45" s="71" t="s">
        <v>78</v>
      </c>
      <c r="B45" s="68" t="s">
        <v>79</v>
      </c>
      <c r="C45" s="67">
        <v>42</v>
      </c>
      <c r="D45" s="58">
        <f>SUM(D46:D54)</f>
        <v>9539</v>
      </c>
      <c r="E45" s="58">
        <f>SUM(E46:E54)</f>
        <v>0</v>
      </c>
      <c r="F45" s="58">
        <f>SUM(F46:F54)</f>
        <v>9539</v>
      </c>
      <c r="G45" s="62">
        <f>SUM(G46:G54)</f>
        <v>7310</v>
      </c>
    </row>
    <row r="46" spans="1:7" ht="13.5" customHeight="1">
      <c r="A46" s="71" t="s">
        <v>80</v>
      </c>
      <c r="B46" s="68" t="s">
        <v>81</v>
      </c>
      <c r="C46" s="67">
        <v>43</v>
      </c>
      <c r="D46" s="58">
        <v>9087</v>
      </c>
      <c r="E46" s="57">
        <v>0</v>
      </c>
      <c r="F46" s="57">
        <f>D46+E46</f>
        <v>9087</v>
      </c>
      <c r="G46" s="62">
        <v>7310</v>
      </c>
    </row>
    <row r="47" spans="1:7" ht="13.5" customHeight="1">
      <c r="A47" s="71" t="s">
        <v>310</v>
      </c>
      <c r="B47" s="68" t="s">
        <v>82</v>
      </c>
      <c r="C47" s="67">
        <v>44</v>
      </c>
      <c r="D47" s="58"/>
      <c r="E47" s="57"/>
      <c r="F47" s="57"/>
      <c r="G47" s="62"/>
    </row>
    <row r="48" spans="1:7" ht="13.5" customHeight="1">
      <c r="A48" s="71">
        <v>3</v>
      </c>
      <c r="B48" s="68" t="s">
        <v>83</v>
      </c>
      <c r="C48" s="67">
        <v>45</v>
      </c>
      <c r="D48" s="58"/>
      <c r="E48" s="57"/>
      <c r="F48" s="57"/>
      <c r="G48" s="62"/>
    </row>
    <row r="49" spans="1:7" ht="13.5" customHeight="1">
      <c r="A49" s="71">
        <v>4</v>
      </c>
      <c r="B49" s="68" t="s">
        <v>84</v>
      </c>
      <c r="C49" s="67">
        <v>46</v>
      </c>
      <c r="D49" s="58"/>
      <c r="E49" s="57"/>
      <c r="F49" s="57"/>
      <c r="G49" s="62"/>
    </row>
    <row r="50" spans="1:7" ht="13.5" customHeight="1">
      <c r="A50" s="71">
        <v>5</v>
      </c>
      <c r="B50" s="68" t="s">
        <v>85</v>
      </c>
      <c r="C50" s="67">
        <v>47</v>
      </c>
      <c r="D50" s="58"/>
      <c r="E50" s="57"/>
      <c r="F50" s="57"/>
      <c r="G50" s="62"/>
    </row>
    <row r="51" spans="1:7" ht="13.5" customHeight="1">
      <c r="A51" s="71">
        <v>6</v>
      </c>
      <c r="B51" s="68" t="s">
        <v>86</v>
      </c>
      <c r="C51" s="67">
        <v>48</v>
      </c>
      <c r="D51" s="58">
        <v>64</v>
      </c>
      <c r="E51" s="57">
        <v>0</v>
      </c>
      <c r="F51" s="57">
        <f>D51+E51</f>
        <v>64</v>
      </c>
      <c r="G51" s="62"/>
    </row>
    <row r="52" spans="1:7" ht="13.5" customHeight="1">
      <c r="A52" s="71">
        <v>7</v>
      </c>
      <c r="B52" s="68" t="s">
        <v>87</v>
      </c>
      <c r="C52" s="67">
        <v>49</v>
      </c>
      <c r="D52" s="58"/>
      <c r="E52" s="57"/>
      <c r="F52" s="57"/>
      <c r="G52" s="62"/>
    </row>
    <row r="53" spans="1:7" ht="13.5" customHeight="1">
      <c r="A53" s="71">
        <v>8</v>
      </c>
      <c r="B53" s="68" t="s">
        <v>88</v>
      </c>
      <c r="C53" s="67">
        <v>50</v>
      </c>
      <c r="D53" s="58"/>
      <c r="E53" s="57"/>
      <c r="F53" s="57"/>
      <c r="G53" s="62"/>
    </row>
    <row r="54" spans="1:7" ht="13.5" customHeight="1">
      <c r="A54" s="71">
        <v>9</v>
      </c>
      <c r="B54" s="68" t="s">
        <v>77</v>
      </c>
      <c r="C54" s="67">
        <v>51</v>
      </c>
      <c r="D54" s="58">
        <v>388</v>
      </c>
      <c r="E54" s="57">
        <v>0</v>
      </c>
      <c r="F54" s="57">
        <f>D54+E54</f>
        <v>388</v>
      </c>
      <c r="G54" s="62"/>
    </row>
    <row r="55" spans="1:7" ht="13.5" customHeight="1">
      <c r="A55" s="71" t="s">
        <v>89</v>
      </c>
      <c r="B55" s="68" t="s">
        <v>90</v>
      </c>
      <c r="C55" s="67">
        <v>52</v>
      </c>
      <c r="D55" s="58">
        <f>D57+D58+D56</f>
        <v>72201.44999999995</v>
      </c>
      <c r="E55" s="58">
        <f>E57+E58+E56</f>
        <v>0</v>
      </c>
      <c r="F55" s="58">
        <f>F57+F58+F56</f>
        <v>72201.44999999995</v>
      </c>
      <c r="G55" s="62">
        <f>G57+G58+G56</f>
        <v>58727.81799999997</v>
      </c>
    </row>
    <row r="56" spans="1:7" ht="13.5" customHeight="1">
      <c r="A56" s="71" t="s">
        <v>91</v>
      </c>
      <c r="B56" s="68" t="s">
        <v>92</v>
      </c>
      <c r="C56" s="67">
        <v>53</v>
      </c>
      <c r="D56" s="58">
        <f>F56</f>
        <v>1912</v>
      </c>
      <c r="E56" s="57">
        <v>0</v>
      </c>
      <c r="F56" s="57">
        <v>1912</v>
      </c>
      <c r="G56" s="62">
        <v>742</v>
      </c>
    </row>
    <row r="57" spans="1:7" ht="13.5" customHeight="1">
      <c r="A57" s="71" t="s">
        <v>25</v>
      </c>
      <c r="B57" s="68" t="s">
        <v>93</v>
      </c>
      <c r="C57" s="67">
        <v>54</v>
      </c>
      <c r="D57" s="58">
        <f>F57</f>
        <v>70289.44999999995</v>
      </c>
      <c r="E57" s="57">
        <v>0</v>
      </c>
      <c r="F57" s="57">
        <f>D67-F5-F6-F32-F39-F45-F56-F58-F59</f>
        <v>70289.44999999995</v>
      </c>
      <c r="G57" s="62">
        <f>E67-G5-G6-G32-G39-G45-G56-G58-G59</f>
        <v>57985.81799999997</v>
      </c>
    </row>
    <row r="58" spans="1:7" ht="13.5" customHeight="1">
      <c r="A58" s="71" t="s">
        <v>27</v>
      </c>
      <c r="B58" s="68" t="s">
        <v>94</v>
      </c>
      <c r="C58" s="67">
        <v>55</v>
      </c>
      <c r="D58" s="58"/>
      <c r="E58" s="57"/>
      <c r="F58" s="57"/>
      <c r="G58" s="62"/>
    </row>
    <row r="59" spans="1:7" ht="13.5" customHeight="1">
      <c r="A59" s="70" t="s">
        <v>95</v>
      </c>
      <c r="B59" s="66" t="s">
        <v>96</v>
      </c>
      <c r="C59" s="67">
        <v>56</v>
      </c>
      <c r="D59" s="60">
        <f>SUM(D60:D62)</f>
        <v>0</v>
      </c>
      <c r="E59" s="60">
        <f>SUM(E60:E62)</f>
        <v>0</v>
      </c>
      <c r="F59" s="60">
        <f>SUM(F60:F62)</f>
        <v>0</v>
      </c>
      <c r="G59" s="65">
        <f>SUM(G60:G62)</f>
        <v>0</v>
      </c>
    </row>
    <row r="60" spans="1:7" ht="13.5" customHeight="1">
      <c r="A60" s="71" t="s">
        <v>97</v>
      </c>
      <c r="B60" s="68" t="s">
        <v>98</v>
      </c>
      <c r="C60" s="67">
        <v>57</v>
      </c>
      <c r="D60" s="58"/>
      <c r="E60" s="57"/>
      <c r="F60" s="57"/>
      <c r="G60" s="62"/>
    </row>
    <row r="61" spans="1:7" ht="13.5" customHeight="1">
      <c r="A61" s="71" t="s">
        <v>310</v>
      </c>
      <c r="B61" s="68" t="s">
        <v>99</v>
      </c>
      <c r="C61" s="67">
        <v>58</v>
      </c>
      <c r="D61" s="58"/>
      <c r="E61" s="57"/>
      <c r="F61" s="57"/>
      <c r="G61" s="62"/>
    </row>
    <row r="62" spans="1:7" ht="13.5" customHeight="1" thickBot="1">
      <c r="A62" s="127">
        <v>3</v>
      </c>
      <c r="B62" s="128" t="s">
        <v>100</v>
      </c>
      <c r="C62" s="129">
        <v>59</v>
      </c>
      <c r="D62" s="130"/>
      <c r="E62" s="130"/>
      <c r="F62" s="130"/>
      <c r="G62" s="131"/>
    </row>
    <row r="63" spans="1:6" ht="18" customHeight="1">
      <c r="A63" s="50"/>
      <c r="B63" s="50"/>
      <c r="C63" s="50"/>
      <c r="D63" s="51"/>
      <c r="F63" s="54"/>
    </row>
    <row r="64" spans="1:4" ht="16.5" customHeight="1" thickBot="1">
      <c r="A64" s="92" t="str">
        <f>"Alfa, s.r.o.: Rozvaha - pasíva (údaje v tis. Kč k 31.12."&amp;FIXED(rok-1,0,TRUE)&amp;")"</f>
        <v>Alfa, s.r.o.: Rozvaha - pasíva (údaje v tis. Kč k 31.12.2009)</v>
      </c>
      <c r="B64" s="49"/>
      <c r="C64" s="49"/>
      <c r="D64" s="49"/>
    </row>
    <row r="65" spans="1:5" ht="13.5" customHeight="1">
      <c r="A65" s="93" t="s">
        <v>4</v>
      </c>
      <c r="B65" s="94" t="s">
        <v>306</v>
      </c>
      <c r="C65" s="94" t="s">
        <v>101</v>
      </c>
      <c r="D65" s="94" t="s">
        <v>7</v>
      </c>
      <c r="E65" s="95" t="s">
        <v>102</v>
      </c>
    </row>
    <row r="66" spans="1:5" ht="13.5" customHeight="1" thickBot="1">
      <c r="A66" s="96" t="s">
        <v>9</v>
      </c>
      <c r="B66" s="97" t="s">
        <v>10</v>
      </c>
      <c r="C66" s="97" t="s">
        <v>11</v>
      </c>
      <c r="D66" s="97">
        <v>5</v>
      </c>
      <c r="E66" s="98">
        <v>6</v>
      </c>
    </row>
    <row r="67" spans="1:5" ht="13.5" customHeight="1">
      <c r="A67" s="69"/>
      <c r="B67" s="66" t="s">
        <v>103</v>
      </c>
      <c r="C67" s="67">
        <f>C62+1</f>
        <v>60</v>
      </c>
      <c r="D67" s="60">
        <f>D68+D85+D104</f>
        <v>549836.45</v>
      </c>
      <c r="E67" s="65">
        <f>E68+E85+E104</f>
        <v>467654.81799999997</v>
      </c>
    </row>
    <row r="68" spans="1:5" ht="13.5" customHeight="1">
      <c r="A68" s="70" t="s">
        <v>17</v>
      </c>
      <c r="B68" s="66" t="s">
        <v>104</v>
      </c>
      <c r="C68" s="67">
        <f>C67+1</f>
        <v>61</v>
      </c>
      <c r="D68" s="60">
        <f>D69+D73+D78+D81+D84</f>
        <v>67692.45</v>
      </c>
      <c r="E68" s="65">
        <f>E69+E73+E78+E81+E84</f>
        <v>49570.818</v>
      </c>
    </row>
    <row r="69" spans="1:5" ht="13.5" customHeight="1">
      <c r="A69" s="71" t="s">
        <v>105</v>
      </c>
      <c r="B69" s="68" t="s">
        <v>106</v>
      </c>
      <c r="C69" s="67">
        <f aca="true" t="shared" si="0" ref="C69:C106">C68+1</f>
        <v>62</v>
      </c>
      <c r="D69" s="58">
        <f>D70+D71+D72</f>
        <v>25776</v>
      </c>
      <c r="E69" s="63">
        <f>E70+E71+E72</f>
        <v>25776</v>
      </c>
    </row>
    <row r="70" spans="1:6" ht="13.5" customHeight="1">
      <c r="A70" s="71" t="s">
        <v>107</v>
      </c>
      <c r="B70" s="68" t="s">
        <v>106</v>
      </c>
      <c r="C70" s="67">
        <f t="shared" si="0"/>
        <v>63</v>
      </c>
      <c r="D70" s="58">
        <f>215776-30000-160000</f>
        <v>25776</v>
      </c>
      <c r="E70" s="63">
        <f>215776-30000-160000</f>
        <v>25776</v>
      </c>
      <c r="F70" s="75"/>
    </row>
    <row r="71" spans="1:5" ht="13.5" customHeight="1">
      <c r="A71" s="71" t="s">
        <v>25</v>
      </c>
      <c r="B71" s="68" t="s">
        <v>108</v>
      </c>
      <c r="C71" s="67">
        <f t="shared" si="0"/>
        <v>64</v>
      </c>
      <c r="D71" s="57"/>
      <c r="E71" s="62"/>
    </row>
    <row r="72" spans="1:5" ht="13.5" customHeight="1">
      <c r="A72" s="71">
        <v>3</v>
      </c>
      <c r="B72" s="68" t="s">
        <v>109</v>
      </c>
      <c r="C72" s="67">
        <f t="shared" si="0"/>
        <v>65</v>
      </c>
      <c r="D72" s="57"/>
      <c r="E72" s="62"/>
    </row>
    <row r="73" spans="1:5" ht="13.5" customHeight="1">
      <c r="A73" s="71" t="s">
        <v>110</v>
      </c>
      <c r="B73" s="68" t="s">
        <v>111</v>
      </c>
      <c r="C73" s="67">
        <f t="shared" si="0"/>
        <v>66</v>
      </c>
      <c r="D73" s="58">
        <f>SUM(D74:D77)</f>
        <v>0</v>
      </c>
      <c r="E73" s="63">
        <f>SUM(E74:E77)</f>
        <v>0</v>
      </c>
    </row>
    <row r="74" spans="1:5" ht="13.5" customHeight="1">
      <c r="A74" s="71" t="s">
        <v>112</v>
      </c>
      <c r="B74" s="68" t="s">
        <v>113</v>
      </c>
      <c r="C74" s="67">
        <f t="shared" si="0"/>
        <v>67</v>
      </c>
      <c r="D74" s="57"/>
      <c r="E74" s="62"/>
    </row>
    <row r="75" spans="1:5" ht="13.5" customHeight="1">
      <c r="A75" s="71" t="s">
        <v>25</v>
      </c>
      <c r="B75" s="68" t="s">
        <v>114</v>
      </c>
      <c r="C75" s="67">
        <f t="shared" si="0"/>
        <v>68</v>
      </c>
      <c r="D75" s="57"/>
      <c r="E75" s="62"/>
    </row>
    <row r="76" spans="1:5" ht="13.5" customHeight="1">
      <c r="A76" s="71" t="s">
        <v>27</v>
      </c>
      <c r="B76" s="68" t="s">
        <v>115</v>
      </c>
      <c r="C76" s="67">
        <f t="shared" si="0"/>
        <v>69</v>
      </c>
      <c r="D76" s="57"/>
      <c r="E76" s="62"/>
    </row>
    <row r="77" spans="1:5" ht="13.5" customHeight="1">
      <c r="A77" s="71">
        <v>4</v>
      </c>
      <c r="B77" s="68" t="s">
        <v>116</v>
      </c>
      <c r="C77" s="67">
        <f t="shared" si="0"/>
        <v>70</v>
      </c>
      <c r="D77" s="57"/>
      <c r="E77" s="62"/>
    </row>
    <row r="78" spans="1:5" ht="13.5" customHeight="1">
      <c r="A78" s="71" t="s">
        <v>117</v>
      </c>
      <c r="B78" s="68" t="s">
        <v>118</v>
      </c>
      <c r="C78" s="67">
        <f t="shared" si="0"/>
        <v>71</v>
      </c>
      <c r="D78" s="58">
        <f>SUM(D79:D80)</f>
        <v>0</v>
      </c>
      <c r="E78" s="63">
        <f>SUM(E79:E80)</f>
        <v>0</v>
      </c>
    </row>
    <row r="79" spans="1:5" ht="13.5" customHeight="1">
      <c r="A79" s="71" t="s">
        <v>119</v>
      </c>
      <c r="B79" s="68" t="s">
        <v>120</v>
      </c>
      <c r="C79" s="67">
        <f t="shared" si="0"/>
        <v>72</v>
      </c>
      <c r="D79" s="58"/>
      <c r="E79" s="62"/>
    </row>
    <row r="80" spans="1:5" ht="13.5" customHeight="1">
      <c r="A80" s="71">
        <v>2</v>
      </c>
      <c r="B80" s="68" t="s">
        <v>121</v>
      </c>
      <c r="C80" s="67">
        <f t="shared" si="0"/>
        <v>73</v>
      </c>
      <c r="D80" s="57"/>
      <c r="E80" s="62"/>
    </row>
    <row r="81" spans="1:5" ht="13.5" customHeight="1">
      <c r="A81" s="71" t="s">
        <v>122</v>
      </c>
      <c r="B81" s="68" t="s">
        <v>123</v>
      </c>
      <c r="C81" s="67">
        <f t="shared" si="0"/>
        <v>74</v>
      </c>
      <c r="D81" s="58">
        <f>D82+D83</f>
        <v>23794.818</v>
      </c>
      <c r="E81" s="63">
        <f>E82+E83</f>
        <v>10322</v>
      </c>
    </row>
    <row r="82" spans="1:5" ht="13.5" customHeight="1">
      <c r="A82" s="71" t="s">
        <v>124</v>
      </c>
      <c r="B82" s="68" t="s">
        <v>125</v>
      </c>
      <c r="C82" s="67">
        <f t="shared" si="0"/>
        <v>75</v>
      </c>
      <c r="D82" s="57">
        <f>E84+E82</f>
        <v>23794.818</v>
      </c>
      <c r="E82" s="62">
        <v>10322</v>
      </c>
    </row>
    <row r="83" spans="1:5" ht="13.5" customHeight="1">
      <c r="A83" s="71" t="s">
        <v>25</v>
      </c>
      <c r="B83" s="68" t="s">
        <v>126</v>
      </c>
      <c r="C83" s="67">
        <f t="shared" si="0"/>
        <v>76</v>
      </c>
      <c r="D83" s="57"/>
      <c r="E83" s="62"/>
    </row>
    <row r="84" spans="1:5" ht="13.5" customHeight="1">
      <c r="A84" s="71" t="s">
        <v>127</v>
      </c>
      <c r="B84" s="68" t="s">
        <v>128</v>
      </c>
      <c r="C84" s="67">
        <f t="shared" si="0"/>
        <v>77</v>
      </c>
      <c r="D84" s="58">
        <f>D169</f>
        <v>18121.632</v>
      </c>
      <c r="E84" s="62">
        <f>E169</f>
        <v>13472.817999999997</v>
      </c>
    </row>
    <row r="85" spans="1:5" ht="13.5" customHeight="1">
      <c r="A85" s="64" t="s">
        <v>19</v>
      </c>
      <c r="B85" s="59" t="s">
        <v>129</v>
      </c>
      <c r="C85" s="67">
        <f t="shared" si="0"/>
        <v>78</v>
      </c>
      <c r="D85" s="60">
        <f>D86+D87+D88+D100</f>
        <v>482144</v>
      </c>
      <c r="E85" s="65">
        <f>E86+E87+E88+E100</f>
        <v>418084</v>
      </c>
    </row>
    <row r="86" spans="1:5" ht="13.5" customHeight="1">
      <c r="A86" s="71" t="s">
        <v>21</v>
      </c>
      <c r="B86" s="68" t="s">
        <v>130</v>
      </c>
      <c r="C86" s="67">
        <f t="shared" si="0"/>
        <v>79</v>
      </c>
      <c r="D86" s="58">
        <v>0</v>
      </c>
      <c r="E86" s="63">
        <v>0</v>
      </c>
    </row>
    <row r="87" spans="1:5" ht="13.5" customHeight="1">
      <c r="A87" s="71" t="s">
        <v>37</v>
      </c>
      <c r="B87" s="68" t="s">
        <v>131</v>
      </c>
      <c r="C87" s="67">
        <f t="shared" si="0"/>
        <v>80</v>
      </c>
      <c r="D87" s="58">
        <v>0</v>
      </c>
      <c r="E87" s="62">
        <v>0</v>
      </c>
    </row>
    <row r="88" spans="1:5" ht="13.5" customHeight="1">
      <c r="A88" s="71" t="s">
        <v>51</v>
      </c>
      <c r="B88" s="68" t="s">
        <v>132</v>
      </c>
      <c r="C88" s="67">
        <f t="shared" si="0"/>
        <v>81</v>
      </c>
      <c r="D88" s="58">
        <f>SUM(D89:D99)</f>
        <v>231144</v>
      </c>
      <c r="E88" s="63">
        <f>SUM(E89:E99)</f>
        <v>127084</v>
      </c>
    </row>
    <row r="89" spans="1:5" ht="13.5" customHeight="1">
      <c r="A89" s="71" t="s">
        <v>53</v>
      </c>
      <c r="B89" s="68" t="s">
        <v>133</v>
      </c>
      <c r="C89" s="67">
        <f t="shared" si="0"/>
        <v>82</v>
      </c>
      <c r="D89" s="58">
        <v>227262</v>
      </c>
      <c r="E89" s="63">
        <v>123458</v>
      </c>
    </row>
    <row r="90" spans="1:5" ht="13.5" customHeight="1">
      <c r="A90" s="71">
        <v>2</v>
      </c>
      <c r="B90" s="68" t="s">
        <v>134</v>
      </c>
      <c r="C90" s="67">
        <f t="shared" si="0"/>
        <v>83</v>
      </c>
      <c r="D90" s="57"/>
      <c r="E90" s="62"/>
    </row>
    <row r="91" spans="1:5" ht="13.5" customHeight="1">
      <c r="A91" s="71">
        <v>3</v>
      </c>
      <c r="B91" s="68" t="s">
        <v>135</v>
      </c>
      <c r="C91" s="67">
        <f t="shared" si="0"/>
        <v>84</v>
      </c>
      <c r="D91" s="57"/>
      <c r="E91" s="62"/>
    </row>
    <row r="92" spans="1:5" ht="13.5" customHeight="1">
      <c r="A92" s="71">
        <v>4</v>
      </c>
      <c r="B92" s="68" t="s">
        <v>136</v>
      </c>
      <c r="C92" s="67">
        <f t="shared" si="0"/>
        <v>85</v>
      </c>
      <c r="D92" s="57"/>
      <c r="E92" s="62"/>
    </row>
    <row r="93" spans="1:5" ht="13.5" customHeight="1">
      <c r="A93" s="71">
        <v>5</v>
      </c>
      <c r="B93" s="68" t="s">
        <v>137</v>
      </c>
      <c r="C93" s="67">
        <f t="shared" si="0"/>
        <v>86</v>
      </c>
      <c r="D93" s="58">
        <v>2554</v>
      </c>
      <c r="E93" s="63">
        <v>2466</v>
      </c>
    </row>
    <row r="94" spans="1:5" ht="13.5" customHeight="1">
      <c r="A94" s="71">
        <v>6</v>
      </c>
      <c r="B94" s="68" t="s">
        <v>138</v>
      </c>
      <c r="C94" s="67">
        <f t="shared" si="0"/>
        <v>87</v>
      </c>
      <c r="D94" s="58">
        <v>1242</v>
      </c>
      <c r="E94" s="63">
        <v>1160</v>
      </c>
    </row>
    <row r="95" spans="1:5" ht="13.5" customHeight="1">
      <c r="A95" s="71">
        <v>7</v>
      </c>
      <c r="B95" s="68" t="s">
        <v>139</v>
      </c>
      <c r="C95" s="67">
        <f t="shared" si="0"/>
        <v>88</v>
      </c>
      <c r="D95" s="57"/>
      <c r="E95" s="62"/>
    </row>
    <row r="96" spans="1:5" ht="13.5" customHeight="1">
      <c r="A96" s="71">
        <v>8</v>
      </c>
      <c r="B96" s="68" t="s">
        <v>140</v>
      </c>
      <c r="C96" s="67">
        <f t="shared" si="0"/>
        <v>89</v>
      </c>
      <c r="D96" s="57"/>
      <c r="E96" s="62"/>
    </row>
    <row r="97" spans="1:5" ht="13.5" customHeight="1">
      <c r="A97" s="71">
        <v>9</v>
      </c>
      <c r="B97" s="68" t="s">
        <v>141</v>
      </c>
      <c r="C97" s="67">
        <f t="shared" si="0"/>
        <v>90</v>
      </c>
      <c r="D97" s="57"/>
      <c r="E97" s="62"/>
    </row>
    <row r="98" spans="1:5" ht="13.5" customHeight="1">
      <c r="A98" s="71">
        <v>10</v>
      </c>
      <c r="B98" s="68" t="s">
        <v>142</v>
      </c>
      <c r="C98" s="67">
        <f t="shared" si="0"/>
        <v>91</v>
      </c>
      <c r="D98" s="57"/>
      <c r="E98" s="62"/>
    </row>
    <row r="99" spans="1:5" ht="13.5" customHeight="1">
      <c r="A99" s="71">
        <v>11</v>
      </c>
      <c r="B99" s="68" t="s">
        <v>143</v>
      </c>
      <c r="C99" s="67">
        <f t="shared" si="0"/>
        <v>92</v>
      </c>
      <c r="D99" s="58">
        <v>86</v>
      </c>
      <c r="E99" s="62"/>
    </row>
    <row r="100" spans="1:7" ht="13.5" customHeight="1">
      <c r="A100" s="71" t="s">
        <v>144</v>
      </c>
      <c r="B100" s="68" t="s">
        <v>145</v>
      </c>
      <c r="C100" s="67">
        <f t="shared" si="0"/>
        <v>93</v>
      </c>
      <c r="D100" s="58">
        <f>D101+D102+D103</f>
        <v>251000</v>
      </c>
      <c r="E100" s="63">
        <f>E101+E102+E103</f>
        <v>291000</v>
      </c>
      <c r="G100" s="78"/>
    </row>
    <row r="101" spans="1:5" ht="13.5" customHeight="1">
      <c r="A101" s="71" t="s">
        <v>146</v>
      </c>
      <c r="B101" s="68" t="s">
        <v>147</v>
      </c>
      <c r="C101" s="67">
        <f t="shared" si="0"/>
        <v>94</v>
      </c>
      <c r="D101" s="58">
        <f>E101</f>
        <v>251000</v>
      </c>
      <c r="E101" s="63">
        <v>251000</v>
      </c>
    </row>
    <row r="102" spans="1:5" ht="13.5" customHeight="1">
      <c r="A102" s="71" t="s">
        <v>25</v>
      </c>
      <c r="B102" s="68" t="s">
        <v>148</v>
      </c>
      <c r="C102" s="67">
        <f t="shared" si="0"/>
        <v>95</v>
      </c>
      <c r="D102" s="58"/>
      <c r="E102" s="63"/>
    </row>
    <row r="103" spans="1:5" ht="13.5" customHeight="1">
      <c r="A103" s="71" t="s">
        <v>27</v>
      </c>
      <c r="B103" s="68" t="s">
        <v>149</v>
      </c>
      <c r="C103" s="67">
        <f t="shared" si="0"/>
        <v>96</v>
      </c>
      <c r="D103" s="58"/>
      <c r="E103" s="63">
        <v>40000</v>
      </c>
    </row>
    <row r="104" spans="1:5" ht="13.5" customHeight="1">
      <c r="A104" s="70" t="s">
        <v>61</v>
      </c>
      <c r="B104" s="66" t="s">
        <v>96</v>
      </c>
      <c r="C104" s="67">
        <f t="shared" si="0"/>
        <v>97</v>
      </c>
      <c r="D104" s="60">
        <f>SUM(D105:D106)</f>
        <v>0</v>
      </c>
      <c r="E104" s="65">
        <f>SUM(E105:E106)</f>
        <v>0</v>
      </c>
    </row>
    <row r="105" spans="1:5" ht="13.5" customHeight="1">
      <c r="A105" s="71" t="s">
        <v>63</v>
      </c>
      <c r="B105" s="68" t="s">
        <v>150</v>
      </c>
      <c r="C105" s="67">
        <f t="shared" si="0"/>
        <v>98</v>
      </c>
      <c r="D105" s="58"/>
      <c r="E105" s="62"/>
    </row>
    <row r="106" spans="1:5" ht="13.5" customHeight="1" thickBot="1">
      <c r="A106" s="127" t="s">
        <v>25</v>
      </c>
      <c r="B106" s="128" t="s">
        <v>151</v>
      </c>
      <c r="C106" s="129">
        <f t="shared" si="0"/>
        <v>99</v>
      </c>
      <c r="D106" s="130"/>
      <c r="E106" s="131"/>
    </row>
    <row r="107" spans="1:5" ht="12" customHeight="1">
      <c r="A107" s="23"/>
      <c r="B107" s="50"/>
      <c r="C107" s="49"/>
      <c r="D107" s="51"/>
      <c r="E107" s="51"/>
    </row>
    <row r="108" spans="1:4" ht="18" customHeight="1" thickBot="1">
      <c r="A108" s="105" t="str">
        <f>"Alfa, s.r.o.: Výkaz zisku a ztráty (údaje v tis. Kč k 31. 12. "&amp;FIXED(rok-1,0,TRUE)&amp;")"</f>
        <v>Alfa, s.r.o.: Výkaz zisku a ztráty (údaje v tis. Kč k 31. 12. 2009)</v>
      </c>
      <c r="B108" s="52"/>
      <c r="C108" s="52"/>
      <c r="D108" s="52"/>
    </row>
    <row r="109" spans="1:5" ht="13.5" customHeight="1">
      <c r="A109" s="99" t="s">
        <v>4</v>
      </c>
      <c r="B109" s="100" t="s">
        <v>152</v>
      </c>
      <c r="C109" s="100" t="s">
        <v>101</v>
      </c>
      <c r="D109" s="100" t="s">
        <v>153</v>
      </c>
      <c r="E109" s="101" t="s">
        <v>8</v>
      </c>
    </row>
    <row r="110" spans="1:5" ht="13.5" customHeight="1" thickBot="1">
      <c r="A110" s="102" t="s">
        <v>9</v>
      </c>
      <c r="B110" s="103" t="s">
        <v>10</v>
      </c>
      <c r="C110" s="103" t="s">
        <v>11</v>
      </c>
      <c r="D110" s="103">
        <v>1</v>
      </c>
      <c r="E110" s="104">
        <v>2</v>
      </c>
    </row>
    <row r="111" spans="1:5" ht="13.5" customHeight="1">
      <c r="A111" s="61" t="s">
        <v>154</v>
      </c>
      <c r="B111" s="55" t="s">
        <v>155</v>
      </c>
      <c r="C111" s="56">
        <v>1</v>
      </c>
      <c r="D111" s="57">
        <v>1364810</v>
      </c>
      <c r="E111" s="62">
        <v>1092448</v>
      </c>
    </row>
    <row r="112" spans="1:5" ht="13.5" customHeight="1">
      <c r="A112" s="61" t="s">
        <v>156</v>
      </c>
      <c r="B112" s="55" t="s">
        <v>157</v>
      </c>
      <c r="C112" s="56">
        <v>2</v>
      </c>
      <c r="D112" s="57">
        <f>1245418-60000</f>
        <v>1185418</v>
      </c>
      <c r="E112" s="62">
        <f>996334-20000</f>
        <v>976334</v>
      </c>
    </row>
    <row r="113" spans="1:5" ht="13.5" customHeight="1">
      <c r="A113" s="61" t="s">
        <v>158</v>
      </c>
      <c r="B113" s="55" t="s">
        <v>159</v>
      </c>
      <c r="C113" s="56">
        <v>3</v>
      </c>
      <c r="D113" s="58">
        <f>D111-D112</f>
        <v>179392</v>
      </c>
      <c r="E113" s="63">
        <f>E111-E112</f>
        <v>116114</v>
      </c>
    </row>
    <row r="114" spans="1:5" ht="13.5" customHeight="1">
      <c r="A114" s="61" t="s">
        <v>160</v>
      </c>
      <c r="B114" s="55" t="s">
        <v>161</v>
      </c>
      <c r="C114" s="56">
        <v>4</v>
      </c>
      <c r="D114" s="58">
        <f>D115+D116+D117</f>
        <v>6368</v>
      </c>
      <c r="E114" s="63">
        <f>E115+E116+E117</f>
        <v>5076</v>
      </c>
    </row>
    <row r="115" spans="1:5" ht="13.5" customHeight="1">
      <c r="A115" s="61" t="s">
        <v>162</v>
      </c>
      <c r="B115" s="55" t="s">
        <v>163</v>
      </c>
      <c r="C115" s="56">
        <v>5</v>
      </c>
      <c r="D115" s="57">
        <v>6346</v>
      </c>
      <c r="E115" s="62">
        <v>5076</v>
      </c>
    </row>
    <row r="116" spans="1:5" ht="13.5" customHeight="1">
      <c r="A116" s="61" t="s">
        <v>25</v>
      </c>
      <c r="B116" s="55" t="s">
        <v>164</v>
      </c>
      <c r="C116" s="56">
        <v>6</v>
      </c>
      <c r="D116" s="57"/>
      <c r="E116" s="62"/>
    </row>
    <row r="117" spans="1:5" ht="13.5" customHeight="1">
      <c r="A117" s="61" t="s">
        <v>27</v>
      </c>
      <c r="B117" s="55" t="s">
        <v>165</v>
      </c>
      <c r="C117" s="56">
        <v>7</v>
      </c>
      <c r="D117" s="57">
        <v>22</v>
      </c>
      <c r="E117" s="62"/>
    </row>
    <row r="118" spans="1:7" ht="13.5" customHeight="1">
      <c r="A118" s="61" t="s">
        <v>166</v>
      </c>
      <c r="B118" s="55" t="s">
        <v>167</v>
      </c>
      <c r="C118" s="56">
        <v>8</v>
      </c>
      <c r="D118" s="58">
        <f>D119+D120</f>
        <v>82736</v>
      </c>
      <c r="E118" s="63">
        <f>E119+E120</f>
        <v>65788</v>
      </c>
      <c r="G118" s="54"/>
    </row>
    <row r="119" spans="1:5" ht="13.5" customHeight="1">
      <c r="A119" s="61" t="s">
        <v>168</v>
      </c>
      <c r="B119" s="55" t="s">
        <v>169</v>
      </c>
      <c r="C119" s="56">
        <v>9</v>
      </c>
      <c r="D119" s="57">
        <f>17276+1000</f>
        <v>18276</v>
      </c>
      <c r="E119" s="62">
        <v>13820</v>
      </c>
    </row>
    <row r="120" spans="1:5" ht="13.5" customHeight="1">
      <c r="A120" s="61" t="s">
        <v>25</v>
      </c>
      <c r="B120" s="55" t="s">
        <v>170</v>
      </c>
      <c r="C120" s="56">
        <v>10</v>
      </c>
      <c r="D120" s="57">
        <f>52460+12000</f>
        <v>64460</v>
      </c>
      <c r="E120" s="62">
        <f>41968+10000</f>
        <v>51968</v>
      </c>
    </row>
    <row r="121" spans="1:5" ht="13.5" customHeight="1">
      <c r="A121" s="61" t="s">
        <v>158</v>
      </c>
      <c r="B121" s="55" t="s">
        <v>171</v>
      </c>
      <c r="C121" s="56">
        <v>11</v>
      </c>
      <c r="D121" s="58">
        <f>D113+D114-D118</f>
        <v>103024</v>
      </c>
      <c r="E121" s="63">
        <f>E113+E114-E118</f>
        <v>55402</v>
      </c>
    </row>
    <row r="122" spans="1:5" ht="13.5" customHeight="1">
      <c r="A122" s="61" t="s">
        <v>172</v>
      </c>
      <c r="B122" s="55" t="s">
        <v>173</v>
      </c>
      <c r="C122" s="56">
        <v>12</v>
      </c>
      <c r="D122" s="58">
        <f>D123+D124+D125+D126</f>
        <v>64611</v>
      </c>
      <c r="E122" s="63">
        <f>E123+E124+E125+E126</f>
        <v>40888.8</v>
      </c>
    </row>
    <row r="123" spans="1:5" ht="13.5" customHeight="1">
      <c r="A123" s="61" t="s">
        <v>174</v>
      </c>
      <c r="B123" s="55" t="s">
        <v>175</v>
      </c>
      <c r="C123" s="56">
        <v>13</v>
      </c>
      <c r="D123" s="58">
        <f>37860+10000</f>
        <v>47860</v>
      </c>
      <c r="E123" s="62">
        <v>30288</v>
      </c>
    </row>
    <row r="124" spans="1:5" ht="13.5" customHeight="1">
      <c r="A124" s="61" t="s">
        <v>25</v>
      </c>
      <c r="B124" s="55" t="s">
        <v>176</v>
      </c>
      <c r="C124" s="56">
        <v>14</v>
      </c>
      <c r="D124" s="57"/>
      <c r="E124" s="62"/>
    </row>
    <row r="125" spans="1:5" ht="13.5" customHeight="1">
      <c r="A125" s="61" t="s">
        <v>27</v>
      </c>
      <c r="B125" s="55" t="s">
        <v>177</v>
      </c>
      <c r="C125" s="56">
        <v>15</v>
      </c>
      <c r="D125" s="58">
        <f>0.35*D123</f>
        <v>16751</v>
      </c>
      <c r="E125" s="62">
        <f>0.35*E123</f>
        <v>10600.8</v>
      </c>
    </row>
    <row r="126" spans="1:5" ht="13.5" customHeight="1">
      <c r="A126" s="61" t="s">
        <v>29</v>
      </c>
      <c r="B126" s="55" t="s">
        <v>178</v>
      </c>
      <c r="C126" s="56">
        <v>16</v>
      </c>
      <c r="D126" s="57"/>
      <c r="E126" s="62"/>
    </row>
    <row r="127" spans="1:5" ht="13.5" customHeight="1">
      <c r="A127" s="61" t="s">
        <v>179</v>
      </c>
      <c r="B127" s="55" t="s">
        <v>180</v>
      </c>
      <c r="C127" s="56">
        <v>17</v>
      </c>
      <c r="D127" s="57">
        <v>2542</v>
      </c>
      <c r="E127" s="62">
        <v>2034</v>
      </c>
    </row>
    <row r="128" spans="1:5" ht="13.5" customHeight="1">
      <c r="A128" s="61" t="s">
        <v>181</v>
      </c>
      <c r="B128" s="55" t="s">
        <v>182</v>
      </c>
      <c r="C128" s="56">
        <v>18</v>
      </c>
      <c r="D128" s="58">
        <v>6966</v>
      </c>
      <c r="E128" s="62">
        <v>7380</v>
      </c>
    </row>
    <row r="129" spans="1:5" ht="13.5" customHeight="1" hidden="1">
      <c r="A129" s="61" t="s">
        <v>183</v>
      </c>
      <c r="B129" s="55" t="s">
        <v>184</v>
      </c>
      <c r="C129" s="56">
        <v>19</v>
      </c>
      <c r="D129" s="57">
        <v>0</v>
      </c>
      <c r="E129" s="62">
        <v>0</v>
      </c>
    </row>
    <row r="130" spans="1:5" ht="13.5" customHeight="1" hidden="1">
      <c r="A130" s="61" t="s">
        <v>185</v>
      </c>
      <c r="B130" s="55" t="s">
        <v>186</v>
      </c>
      <c r="C130" s="56">
        <v>20</v>
      </c>
      <c r="D130" s="57">
        <v>0</v>
      </c>
      <c r="E130" s="62">
        <v>0</v>
      </c>
    </row>
    <row r="131" spans="1:5" ht="13.5" customHeight="1" hidden="1">
      <c r="A131" s="61" t="s">
        <v>187</v>
      </c>
      <c r="B131" s="55" t="s">
        <v>188</v>
      </c>
      <c r="C131" s="56">
        <v>21</v>
      </c>
      <c r="D131" s="57">
        <v>0</v>
      </c>
      <c r="E131" s="62">
        <v>0</v>
      </c>
    </row>
    <row r="132" spans="1:5" ht="13.5" customHeight="1" hidden="1">
      <c r="A132" s="61" t="s">
        <v>189</v>
      </c>
      <c r="B132" s="55" t="s">
        <v>190</v>
      </c>
      <c r="C132" s="56">
        <v>22</v>
      </c>
      <c r="D132" s="57">
        <v>0</v>
      </c>
      <c r="E132" s="62">
        <v>0</v>
      </c>
    </row>
    <row r="133" spans="1:5" ht="13.5" customHeight="1" hidden="1">
      <c r="A133" s="61" t="s">
        <v>191</v>
      </c>
      <c r="B133" s="55" t="s">
        <v>192</v>
      </c>
      <c r="C133" s="56">
        <v>23</v>
      </c>
      <c r="D133" s="57">
        <v>0</v>
      </c>
      <c r="E133" s="62">
        <v>0</v>
      </c>
    </row>
    <row r="134" spans="1:5" ht="13.5" customHeight="1" hidden="1">
      <c r="A134" s="61" t="s">
        <v>193</v>
      </c>
      <c r="B134" s="55" t="s">
        <v>194</v>
      </c>
      <c r="C134" s="56">
        <v>24</v>
      </c>
      <c r="D134" s="57">
        <v>0</v>
      </c>
      <c r="E134" s="62">
        <v>0</v>
      </c>
    </row>
    <row r="135" spans="1:5" ht="13.5" customHeight="1">
      <c r="A135" s="61" t="s">
        <v>187</v>
      </c>
      <c r="B135" s="55" t="s">
        <v>195</v>
      </c>
      <c r="C135" s="56">
        <v>25</v>
      </c>
      <c r="D135" s="58">
        <v>2768</v>
      </c>
      <c r="E135" s="62">
        <v>2214</v>
      </c>
    </row>
    <row r="136" spans="1:5" ht="13.5" customHeight="1">
      <c r="A136" s="61" t="s">
        <v>196</v>
      </c>
      <c r="B136" s="55" t="s">
        <v>197</v>
      </c>
      <c r="C136" s="56">
        <v>26</v>
      </c>
      <c r="D136" s="57">
        <v>1456</v>
      </c>
      <c r="E136" s="62">
        <v>1164</v>
      </c>
    </row>
    <row r="137" spans="1:5" ht="13.5" customHeight="1">
      <c r="A137" s="61" t="s">
        <v>191</v>
      </c>
      <c r="B137" s="55" t="s">
        <v>198</v>
      </c>
      <c r="C137" s="56">
        <v>27</v>
      </c>
      <c r="D137" s="57"/>
      <c r="E137" s="62"/>
    </row>
    <row r="138" spans="1:5" ht="13.5" customHeight="1">
      <c r="A138" s="61" t="s">
        <v>199</v>
      </c>
      <c r="B138" s="55" t="s">
        <v>200</v>
      </c>
      <c r="C138" s="56">
        <v>28</v>
      </c>
      <c r="D138" s="57"/>
      <c r="E138" s="62"/>
    </row>
    <row r="139" spans="1:6" ht="13.5" customHeight="1">
      <c r="A139" s="64" t="s">
        <v>201</v>
      </c>
      <c r="B139" s="59" t="s">
        <v>202</v>
      </c>
      <c r="C139" s="56">
        <v>29</v>
      </c>
      <c r="D139" s="60">
        <f>D121-D122-D127-D128+D129-D130+D131-D132+D133-D134+D135-D136+D137-D138</f>
        <v>30217</v>
      </c>
      <c r="E139" s="65">
        <f>E121-E122-E127-E128+E129-E130+E131-E132+E133-E134+E135-E136+E137-E138</f>
        <v>6149.199999999997</v>
      </c>
      <c r="F139" s="54"/>
    </row>
    <row r="140" spans="1:5" ht="13.5" customHeight="1">
      <c r="A140" s="61" t="s">
        <v>203</v>
      </c>
      <c r="B140" s="55" t="s">
        <v>204</v>
      </c>
      <c r="C140" s="56">
        <v>30</v>
      </c>
      <c r="D140" s="57">
        <v>60000</v>
      </c>
      <c r="E140" s="62">
        <v>75000</v>
      </c>
    </row>
    <row r="141" spans="1:5" ht="13.5" customHeight="1">
      <c r="A141" s="61" t="s">
        <v>205</v>
      </c>
      <c r="B141" s="55" t="s">
        <v>206</v>
      </c>
      <c r="C141" s="56">
        <v>31</v>
      </c>
      <c r="D141" s="57">
        <v>50000</v>
      </c>
      <c r="E141" s="62">
        <v>50000</v>
      </c>
    </row>
    <row r="142" spans="1:5" ht="13.5" customHeight="1">
      <c r="A142" s="61" t="s">
        <v>207</v>
      </c>
      <c r="B142" s="55" t="s">
        <v>208</v>
      </c>
      <c r="C142" s="56">
        <v>32</v>
      </c>
      <c r="D142" s="57">
        <f>D143+D144+D145</f>
        <v>3725.04</v>
      </c>
      <c r="E142" s="63">
        <f>E143+E144+E145</f>
        <v>7240</v>
      </c>
    </row>
    <row r="143" spans="1:5" ht="13.5" customHeight="1">
      <c r="A143" s="61" t="s">
        <v>209</v>
      </c>
      <c r="B143" s="55" t="s">
        <v>210</v>
      </c>
      <c r="C143" s="56">
        <v>33</v>
      </c>
      <c r="D143" s="57"/>
      <c r="E143" s="62"/>
    </row>
    <row r="144" spans="1:5" ht="13.5" customHeight="1">
      <c r="A144" s="61" t="s">
        <v>25</v>
      </c>
      <c r="B144" s="55" t="s">
        <v>211</v>
      </c>
      <c r="C144" s="56">
        <v>34</v>
      </c>
      <c r="D144" s="57"/>
      <c r="E144" s="62"/>
    </row>
    <row r="145" spans="1:5" ht="13.5" customHeight="1">
      <c r="A145" s="61" t="s">
        <v>27</v>
      </c>
      <c r="B145" s="55" t="s">
        <v>212</v>
      </c>
      <c r="C145" s="56">
        <v>35</v>
      </c>
      <c r="D145" s="57">
        <f>(G28+F28)/2*0.06</f>
        <v>3725.04</v>
      </c>
      <c r="E145" s="62">
        <v>7240</v>
      </c>
    </row>
    <row r="146" spans="1:5" ht="13.5" customHeight="1">
      <c r="A146" s="61" t="s">
        <v>213</v>
      </c>
      <c r="B146" s="55" t="s">
        <v>214</v>
      </c>
      <c r="C146" s="56">
        <v>36</v>
      </c>
      <c r="D146" s="57"/>
      <c r="E146" s="62"/>
    </row>
    <row r="147" spans="1:5" ht="13.5" customHeight="1" hidden="1">
      <c r="A147" s="61" t="s">
        <v>215</v>
      </c>
      <c r="B147" s="55" t="s">
        <v>216</v>
      </c>
      <c r="C147" s="56">
        <v>37</v>
      </c>
      <c r="D147" s="57"/>
      <c r="E147" s="62"/>
    </row>
    <row r="148" spans="1:5" ht="13.5" customHeight="1" hidden="1">
      <c r="A148" s="61" t="s">
        <v>217</v>
      </c>
      <c r="B148" s="55" t="s">
        <v>218</v>
      </c>
      <c r="C148" s="56">
        <v>38</v>
      </c>
      <c r="D148" s="57"/>
      <c r="E148" s="62"/>
    </row>
    <row r="149" spans="1:5" ht="13.5" customHeight="1" hidden="1">
      <c r="A149" s="61" t="s">
        <v>219</v>
      </c>
      <c r="B149" s="55" t="s">
        <v>220</v>
      </c>
      <c r="C149" s="56">
        <v>39</v>
      </c>
      <c r="D149" s="57"/>
      <c r="E149" s="62"/>
    </row>
    <row r="150" spans="1:5" ht="13.5" customHeight="1" hidden="1">
      <c r="A150" s="61" t="s">
        <v>221</v>
      </c>
      <c r="B150" s="55" t="s">
        <v>222</v>
      </c>
      <c r="C150" s="56">
        <v>40</v>
      </c>
      <c r="D150" s="57"/>
      <c r="E150" s="62"/>
    </row>
    <row r="151" spans="1:5" ht="13.5" customHeight="1">
      <c r="A151" s="61" t="s">
        <v>223</v>
      </c>
      <c r="B151" s="55" t="s">
        <v>224</v>
      </c>
      <c r="C151" s="56">
        <v>41</v>
      </c>
      <c r="D151" s="57"/>
      <c r="E151" s="62"/>
    </row>
    <row r="152" spans="1:8" ht="13.5" customHeight="1">
      <c r="A152" s="61" t="s">
        <v>225</v>
      </c>
      <c r="B152" s="55" t="s">
        <v>226</v>
      </c>
      <c r="C152" s="56">
        <v>42</v>
      </c>
      <c r="D152" s="57">
        <f>E101*0.085</f>
        <v>21335</v>
      </c>
      <c r="E152" s="62">
        <f>E101*0.085</f>
        <v>21335</v>
      </c>
      <c r="H152" s="53"/>
    </row>
    <row r="153" spans="1:5" ht="13.5" customHeight="1">
      <c r="A153" s="61" t="s">
        <v>215</v>
      </c>
      <c r="B153" s="55" t="s">
        <v>227</v>
      </c>
      <c r="C153" s="56">
        <v>43</v>
      </c>
      <c r="D153" s="57"/>
      <c r="E153" s="62"/>
    </row>
    <row r="154" spans="1:5" ht="13.5" customHeight="1">
      <c r="A154" s="61" t="s">
        <v>228</v>
      </c>
      <c r="B154" s="55" t="s">
        <v>229</v>
      </c>
      <c r="C154" s="56">
        <v>44</v>
      </c>
      <c r="D154" s="57"/>
      <c r="E154" s="62"/>
    </row>
    <row r="155" spans="1:5" ht="13.5" customHeight="1">
      <c r="A155" s="61" t="s">
        <v>219</v>
      </c>
      <c r="B155" s="55" t="s">
        <v>230</v>
      </c>
      <c r="C155" s="56">
        <v>45</v>
      </c>
      <c r="D155" s="57"/>
      <c r="E155" s="62"/>
    </row>
    <row r="156" spans="1:5" ht="13.5" customHeight="1">
      <c r="A156" s="61" t="s">
        <v>231</v>
      </c>
      <c r="B156" s="55" t="s">
        <v>232</v>
      </c>
      <c r="C156" s="56">
        <v>46</v>
      </c>
      <c r="D156" s="57"/>
      <c r="E156" s="62"/>
    </row>
    <row r="157" spans="1:5" ht="13.5" customHeight="1">
      <c r="A157" s="64" t="s">
        <v>201</v>
      </c>
      <c r="B157" s="59" t="s">
        <v>233</v>
      </c>
      <c r="C157" s="56">
        <v>47</v>
      </c>
      <c r="D157" s="60">
        <f>D140-D141+D142+D146+D147-D148+D149-D150+D151-D152+D153-D154+D155-D156</f>
        <v>-7609.959999999999</v>
      </c>
      <c r="E157" s="65">
        <f>E140-E141+E142+E146+E147-E148+E149-E150+E151-E152+E153-E154+E155-E156</f>
        <v>10905</v>
      </c>
    </row>
    <row r="158" spans="1:5" ht="13.5" customHeight="1">
      <c r="A158" s="61" t="s">
        <v>234</v>
      </c>
      <c r="B158" s="55" t="s">
        <v>235</v>
      </c>
      <c r="C158" s="56">
        <v>48</v>
      </c>
      <c r="D158" s="58">
        <f>D159+D160</f>
        <v>4521.408</v>
      </c>
      <c r="E158" s="62">
        <f>E159+E160</f>
        <v>3581.381999999999</v>
      </c>
    </row>
    <row r="159" spans="1:5" ht="13.5" customHeight="1">
      <c r="A159" s="61" t="s">
        <v>236</v>
      </c>
      <c r="B159" s="55" t="s">
        <v>237</v>
      </c>
      <c r="C159" s="56">
        <v>49</v>
      </c>
      <c r="D159" s="58">
        <f>(D139+D157)*0.2</f>
        <v>4521.408</v>
      </c>
      <c r="E159" s="62">
        <f>(E139+E157)*0.21</f>
        <v>3581.381999999999</v>
      </c>
    </row>
    <row r="160" spans="1:5" ht="13.5" customHeight="1">
      <c r="A160" s="61" t="s">
        <v>25</v>
      </c>
      <c r="B160" s="55" t="s">
        <v>238</v>
      </c>
      <c r="C160" s="56">
        <v>50</v>
      </c>
      <c r="D160" s="57"/>
      <c r="E160" s="62"/>
    </row>
    <row r="161" spans="1:5" ht="13.5" customHeight="1">
      <c r="A161" s="64" t="s">
        <v>239</v>
      </c>
      <c r="B161" s="59" t="s">
        <v>240</v>
      </c>
      <c r="C161" s="56">
        <v>52</v>
      </c>
      <c r="D161" s="60">
        <f>D139+D157-D158</f>
        <v>18085.632</v>
      </c>
      <c r="E161" s="65">
        <f>E139+E157-E158</f>
        <v>13472.817999999997</v>
      </c>
    </row>
    <row r="162" spans="1:5" ht="13.5" customHeight="1">
      <c r="A162" s="61" t="s">
        <v>241</v>
      </c>
      <c r="B162" s="55" t="s">
        <v>242</v>
      </c>
      <c r="C162" s="56">
        <v>53</v>
      </c>
      <c r="D162" s="57">
        <v>9466</v>
      </c>
      <c r="E162" s="62"/>
    </row>
    <row r="163" spans="1:5" ht="13.5" customHeight="1">
      <c r="A163" s="61" t="s">
        <v>243</v>
      </c>
      <c r="B163" s="55" t="s">
        <v>244</v>
      </c>
      <c r="C163" s="56">
        <v>54</v>
      </c>
      <c r="D163" s="57">
        <v>9430</v>
      </c>
      <c r="E163" s="62"/>
    </row>
    <row r="164" spans="1:5" ht="13.5" customHeight="1">
      <c r="A164" s="61" t="s">
        <v>245</v>
      </c>
      <c r="B164" s="55" t="s">
        <v>246</v>
      </c>
      <c r="C164" s="56">
        <v>55</v>
      </c>
      <c r="D164" s="58">
        <f>D165+D166</f>
        <v>0</v>
      </c>
      <c r="E164" s="62">
        <f>E165+E166</f>
        <v>0</v>
      </c>
    </row>
    <row r="165" spans="1:5" ht="13.5" customHeight="1">
      <c r="A165" s="61" t="s">
        <v>247</v>
      </c>
      <c r="B165" s="55" t="s">
        <v>237</v>
      </c>
      <c r="C165" s="56">
        <v>56</v>
      </c>
      <c r="D165" s="58"/>
      <c r="E165" s="62"/>
    </row>
    <row r="166" spans="1:5" ht="13.5" customHeight="1">
      <c r="A166" s="61" t="s">
        <v>25</v>
      </c>
      <c r="B166" s="55" t="s">
        <v>238</v>
      </c>
      <c r="C166" s="56">
        <v>57</v>
      </c>
      <c r="D166" s="57"/>
      <c r="E166" s="62"/>
    </row>
    <row r="167" spans="1:5" ht="13.5" customHeight="1">
      <c r="A167" s="64" t="s">
        <v>201</v>
      </c>
      <c r="B167" s="59" t="s">
        <v>248</v>
      </c>
      <c r="C167" s="56">
        <v>58</v>
      </c>
      <c r="D167" s="60">
        <f>D162-D163-D164</f>
        <v>36</v>
      </c>
      <c r="E167" s="65">
        <f>E162-E163-E164</f>
        <v>0</v>
      </c>
    </row>
    <row r="168" spans="1:5" ht="13.5" customHeight="1">
      <c r="A168" s="61" t="s">
        <v>249</v>
      </c>
      <c r="B168" s="55" t="s">
        <v>250</v>
      </c>
      <c r="C168" s="56">
        <v>59</v>
      </c>
      <c r="D168" s="57"/>
      <c r="E168" s="62"/>
    </row>
    <row r="169" spans="1:5" ht="13.5" customHeight="1" thickBot="1">
      <c r="A169" s="132" t="s">
        <v>251</v>
      </c>
      <c r="B169" s="133" t="s">
        <v>252</v>
      </c>
      <c r="C169" s="134">
        <v>60</v>
      </c>
      <c r="D169" s="135">
        <f>D161+D167-D168</f>
        <v>18121.632</v>
      </c>
      <c r="E169" s="136">
        <f>E161+E167-E168</f>
        <v>13472.817999999997</v>
      </c>
    </row>
    <row r="171" spans="1:5" ht="13.5" customHeight="1">
      <c r="A171" s="125" t="s">
        <v>253</v>
      </c>
      <c r="B171" s="117"/>
      <c r="C171" s="117"/>
      <c r="D171" s="117"/>
      <c r="E171" s="126"/>
    </row>
    <row r="172" spans="6:7" ht="13.5" customHeight="1">
      <c r="F172" s="126"/>
      <c r="G172" s="126"/>
    </row>
  </sheetData>
  <sheetProtection/>
  <printOptions headings="1" horizontalCentered="1"/>
  <pageMargins left="0.3937007874015748" right="0.3937007874015748" top="0.31496062992125984" bottom="0.31496062992125984" header="0.5118110236220472" footer="0.5118110236220472"/>
  <pageSetup horizontalDpi="180" verticalDpi="180" orientation="portrait" paperSize="9" scale="95" r:id="rId1"/>
  <headerFooter alignWithMargins="0">
    <oddFooter>&amp;C&amp;A&amp;RStrana &amp;P</oddFooter>
  </headerFooter>
  <rowBreaks count="2" manualBreakCount="2">
    <brk id="63" max="65535" man="1"/>
    <brk id="10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showGridLines="0" zoomScalePageLayoutView="0" workbookViewId="0" topLeftCell="A1">
      <selection activeCell="A1" sqref="A1"/>
    </sheetView>
  </sheetViews>
  <sheetFormatPr defaultColWidth="8.796875" defaultRowHeight="15"/>
  <cols>
    <col min="1" max="1" width="9.19921875" style="0" customWidth="1"/>
    <col min="2" max="2" width="16.69921875" style="0" customWidth="1"/>
    <col min="3" max="9" width="9.09765625" style="0" bestFit="1" customWidth="1"/>
  </cols>
  <sheetData>
    <row r="1" spans="1:7" ht="19.5" customHeight="1">
      <c r="A1" s="106" t="s">
        <v>346</v>
      </c>
      <c r="B1" s="91"/>
      <c r="C1" s="91"/>
      <c r="D1" s="91"/>
      <c r="E1" s="91"/>
      <c r="F1" s="91"/>
      <c r="G1" s="91"/>
    </row>
    <row r="2" spans="2:7" ht="15.75">
      <c r="B2" s="91"/>
      <c r="C2" s="91"/>
      <c r="D2" s="91"/>
      <c r="E2" s="91"/>
      <c r="F2" s="91"/>
      <c r="G2" s="91"/>
    </row>
    <row r="3" ht="18.75">
      <c r="A3" s="112" t="s">
        <v>312</v>
      </c>
    </row>
    <row r="4" spans="1:7" ht="15.75">
      <c r="A4" s="107" t="s">
        <v>342</v>
      </c>
      <c r="B4" s="108"/>
      <c r="C4" s="109" t="s">
        <v>254</v>
      </c>
      <c r="D4" s="109"/>
      <c r="E4" s="109"/>
      <c r="F4" s="109"/>
      <c r="G4" s="109"/>
    </row>
    <row r="5" spans="1:7" ht="15.75">
      <c r="A5" s="110"/>
      <c r="B5" s="111"/>
      <c r="C5" s="111">
        <f>rok</f>
        <v>2010</v>
      </c>
      <c r="D5" s="111">
        <f>C5+1</f>
        <v>2011</v>
      </c>
      <c r="E5" s="111">
        <f>D5+1</f>
        <v>2012</v>
      </c>
      <c r="F5" s="111">
        <f>E5+1</f>
        <v>2013</v>
      </c>
      <c r="G5" s="111">
        <f>F5+1</f>
        <v>2014</v>
      </c>
    </row>
    <row r="6" spans="1:7" s="1" customFormat="1" ht="15.75">
      <c r="A6" s="29" t="s">
        <v>257</v>
      </c>
      <c r="B6" s="30"/>
      <c r="C6" s="31">
        <v>1400793</v>
      </c>
      <c r="D6" s="31">
        <v>1471146</v>
      </c>
      <c r="E6" s="31">
        <v>1628176</v>
      </c>
      <c r="F6" s="31">
        <v>1729567</v>
      </c>
      <c r="G6" s="31">
        <v>1895240</v>
      </c>
    </row>
    <row r="7" spans="1:7" ht="15.75">
      <c r="A7" s="10" t="s">
        <v>258</v>
      </c>
      <c r="B7" s="5" t="s">
        <v>259</v>
      </c>
      <c r="C7" s="6">
        <v>1160820</v>
      </c>
      <c r="D7" s="6">
        <v>1233438</v>
      </c>
      <c r="E7" s="6">
        <v>1365319</v>
      </c>
      <c r="F7" s="6">
        <v>1457371</v>
      </c>
      <c r="G7" s="6">
        <v>1608529</v>
      </c>
    </row>
    <row r="8" spans="1:7" ht="15.75">
      <c r="A8" s="10"/>
      <c r="B8" s="5" t="s">
        <v>260</v>
      </c>
      <c r="C8" s="6">
        <v>64611</v>
      </c>
      <c r="D8" s="6">
        <v>65257</v>
      </c>
      <c r="E8" s="6">
        <v>73087</v>
      </c>
      <c r="F8" s="6">
        <v>74549</v>
      </c>
      <c r="G8" s="6">
        <v>76040</v>
      </c>
    </row>
    <row r="9" spans="1:7" ht="15.75">
      <c r="A9" s="10"/>
      <c r="B9" s="5" t="s">
        <v>261</v>
      </c>
      <c r="C9" s="6">
        <v>7300</v>
      </c>
      <c r="D9" s="6">
        <v>7800</v>
      </c>
      <c r="E9" s="6">
        <v>10200</v>
      </c>
      <c r="F9" s="6">
        <v>10800</v>
      </c>
      <c r="G9" s="6">
        <v>12505</v>
      </c>
    </row>
    <row r="10" spans="1:7" ht="15.75">
      <c r="A10" s="10"/>
      <c r="B10" s="5" t="s">
        <v>262</v>
      </c>
      <c r="C10" s="6">
        <v>85313</v>
      </c>
      <c r="D10" s="6">
        <v>89571</v>
      </c>
      <c r="E10" s="6">
        <v>99148</v>
      </c>
      <c r="F10" s="6">
        <v>105331</v>
      </c>
      <c r="G10" s="6">
        <v>115433</v>
      </c>
    </row>
    <row r="11" spans="1:7" ht="15.75">
      <c r="A11" s="10"/>
      <c r="B11" s="5" t="s">
        <v>263</v>
      </c>
      <c r="C11" s="6">
        <v>2567</v>
      </c>
      <c r="D11" s="6">
        <v>2593</v>
      </c>
      <c r="E11" s="6">
        <v>2619</v>
      </c>
      <c r="F11" s="6">
        <v>2645</v>
      </c>
      <c r="G11" s="6">
        <v>2680</v>
      </c>
    </row>
    <row r="12" spans="1:7" ht="15.75">
      <c r="A12" s="16"/>
      <c r="B12" s="17" t="s">
        <v>264</v>
      </c>
      <c r="C12" s="18">
        <v>1470</v>
      </c>
      <c r="D12" s="18">
        <v>1485</v>
      </c>
      <c r="E12" s="18">
        <v>1500</v>
      </c>
      <c r="F12" s="18">
        <v>1515</v>
      </c>
      <c r="G12" s="18">
        <v>1530</v>
      </c>
    </row>
    <row r="13" spans="1:7" s="1" customFormat="1" ht="15.75">
      <c r="A13" s="9" t="s">
        <v>265</v>
      </c>
      <c r="B13" s="4"/>
      <c r="C13" s="7">
        <f>C6-SUM(C7:C12)</f>
        <v>78712</v>
      </c>
      <c r="D13" s="7">
        <f>D6-SUM(D7:D12)</f>
        <v>71002</v>
      </c>
      <c r="E13" s="7">
        <f>E6-SUM(E7:E12)</f>
        <v>76303</v>
      </c>
      <c r="F13" s="7">
        <f>F6-SUM(F7:F12)</f>
        <v>77356</v>
      </c>
      <c r="G13" s="7">
        <f>G6-SUM(G7:G12)</f>
        <v>78523</v>
      </c>
    </row>
    <row r="14" spans="1:7" ht="15.75">
      <c r="A14" s="10" t="s">
        <v>226</v>
      </c>
      <c r="B14" s="5"/>
      <c r="C14" s="6">
        <v>12550</v>
      </c>
      <c r="D14" s="6">
        <v>9412</v>
      </c>
      <c r="E14" s="6">
        <v>9412</v>
      </c>
      <c r="F14" s="6">
        <v>9412</v>
      </c>
      <c r="G14" s="6">
        <v>9412</v>
      </c>
    </row>
    <row r="15" spans="1:7" ht="15.75">
      <c r="A15" s="16" t="s">
        <v>266</v>
      </c>
      <c r="B15" s="18"/>
      <c r="C15" s="18">
        <f>Závěrka!F28*0.06</f>
        <v>2225.04</v>
      </c>
      <c r="D15" s="18">
        <f>0.06*C28</f>
        <v>2225.04</v>
      </c>
      <c r="E15" s="18">
        <f>0.06*D28</f>
        <v>2225.04</v>
      </c>
      <c r="F15" s="18">
        <f>0.06*E28</f>
        <v>2225.04</v>
      </c>
      <c r="G15" s="18">
        <f>0.06*F28</f>
        <v>2225.04</v>
      </c>
    </row>
    <row r="16" spans="1:7" s="1" customFormat="1" ht="15.75">
      <c r="A16" s="9" t="s">
        <v>267</v>
      </c>
      <c r="B16" s="4"/>
      <c r="C16" s="7">
        <f>C13-C14+C15</f>
        <v>68387.04</v>
      </c>
      <c r="D16" s="7">
        <f>D13-D14+D15</f>
        <v>63815.04</v>
      </c>
      <c r="E16" s="7">
        <f>E13-E14+E15</f>
        <v>69116.04</v>
      </c>
      <c r="F16" s="7">
        <f>F13-F14+F15</f>
        <v>70169.04</v>
      </c>
      <c r="G16" s="7">
        <f>G13-G14+G15</f>
        <v>71336.04</v>
      </c>
    </row>
    <row r="17" spans="1:7" ht="15.75">
      <c r="A17" s="16" t="s">
        <v>268</v>
      </c>
      <c r="B17" s="17"/>
      <c r="C17" s="18">
        <f>C16*C19</f>
        <v>12993.5376</v>
      </c>
      <c r="D17" s="18">
        <f>D16*D19</f>
        <v>12124.857600000001</v>
      </c>
      <c r="E17" s="18">
        <f>E16*E19</f>
        <v>13132.047599999998</v>
      </c>
      <c r="F17" s="18">
        <f>F16*F19</f>
        <v>13332.1176</v>
      </c>
      <c r="G17" s="18">
        <f>G16*G19</f>
        <v>13553.8476</v>
      </c>
    </row>
    <row r="18" spans="1:7" s="1" customFormat="1" ht="15.75">
      <c r="A18" s="14" t="s">
        <v>269</v>
      </c>
      <c r="B18" s="15"/>
      <c r="C18" s="19">
        <f>C16-C17</f>
        <v>55393.5024</v>
      </c>
      <c r="D18" s="19">
        <f>D16-D17</f>
        <v>51690.1824</v>
      </c>
      <c r="E18" s="19">
        <f>E16-E17</f>
        <v>55983.992399999996</v>
      </c>
      <c r="F18" s="19">
        <f>F16-F17</f>
        <v>56836.922399999996</v>
      </c>
      <c r="G18" s="19">
        <f>G16-G17</f>
        <v>57782.19239999999</v>
      </c>
    </row>
    <row r="19" spans="1:7" s="2" customFormat="1" ht="15.75">
      <c r="A19" s="11" t="s">
        <v>270</v>
      </c>
      <c r="B19" s="12"/>
      <c r="C19" s="13">
        <v>0.19</v>
      </c>
      <c r="D19" s="13">
        <v>0.19</v>
      </c>
      <c r="E19" s="13">
        <f>D19</f>
        <v>0.19</v>
      </c>
      <c r="F19" s="13">
        <f>E19</f>
        <v>0.19</v>
      </c>
      <c r="G19" s="13">
        <f>F19</f>
        <v>0.19</v>
      </c>
    </row>
    <row r="20" spans="1:7" s="2" customFormat="1" ht="15.75">
      <c r="A20" s="16" t="s">
        <v>271</v>
      </c>
      <c r="B20" s="17"/>
      <c r="C20" s="18">
        <f>C18*0.4</f>
        <v>22157.40096</v>
      </c>
      <c r="D20" s="18">
        <f>D18*0.4</f>
        <v>20676.07296</v>
      </c>
      <c r="E20" s="18">
        <f>E18*0.4</f>
        <v>22393.59696</v>
      </c>
      <c r="F20" s="18">
        <f>F18*0.4</f>
        <v>22734.76896</v>
      </c>
      <c r="G20" s="18">
        <f>G18*0.4</f>
        <v>23112.876959999998</v>
      </c>
    </row>
    <row r="21" spans="1:7" s="2" customFormat="1" ht="15.75">
      <c r="A21" s="73"/>
      <c r="B21" s="73"/>
      <c r="C21" s="74"/>
      <c r="D21" s="74"/>
      <c r="E21" s="74"/>
      <c r="F21" s="74"/>
      <c r="G21" s="74"/>
    </row>
    <row r="22" spans="1:7" ht="18.75">
      <c r="A22" s="112" t="s">
        <v>272</v>
      </c>
      <c r="C22" s="3"/>
      <c r="D22" s="3"/>
      <c r="E22" s="3"/>
      <c r="F22" s="3"/>
      <c r="G22" s="3"/>
    </row>
    <row r="23" spans="1:7" ht="15.75">
      <c r="A23" s="107" t="s">
        <v>273</v>
      </c>
      <c r="B23" s="108"/>
      <c r="C23" s="109" t="s">
        <v>254</v>
      </c>
      <c r="D23" s="109"/>
      <c r="E23" s="109"/>
      <c r="F23" s="109"/>
      <c r="G23" s="109"/>
    </row>
    <row r="24" spans="1:7" ht="15.75">
      <c r="A24" s="110"/>
      <c r="B24" s="111"/>
      <c r="C24" s="111">
        <f>rok</f>
        <v>2010</v>
      </c>
      <c r="D24" s="111">
        <f>C24+1</f>
        <v>2011</v>
      </c>
      <c r="E24" s="111">
        <f>D24+1</f>
        <v>2012</v>
      </c>
      <c r="F24" s="111">
        <f>E24+1</f>
        <v>2013</v>
      </c>
      <c r="G24" s="111">
        <f>F24+1</f>
        <v>2014</v>
      </c>
    </row>
    <row r="25" spans="1:7" ht="15.75">
      <c r="A25" s="14" t="s">
        <v>16</v>
      </c>
      <c r="B25" s="33"/>
      <c r="C25" s="45">
        <f>C26+C29+C33</f>
        <v>505910.95239999995</v>
      </c>
      <c r="D25" s="45">
        <f>D26+D29+D33</f>
        <v>547188.7338399999</v>
      </c>
      <c r="E25" s="45">
        <f>E26+E29+E33</f>
        <v>604298.65328</v>
      </c>
      <c r="F25" s="45">
        <f>F26+F29+F33</f>
        <v>654271.97872</v>
      </c>
      <c r="G25" s="46">
        <f>G26+G29+G33</f>
        <v>714540.5021599999</v>
      </c>
    </row>
    <row r="26" spans="1:7" s="1" customFormat="1" ht="15.75">
      <c r="A26" s="8" t="s">
        <v>20</v>
      </c>
      <c r="B26" s="85"/>
      <c r="C26" s="86">
        <f>C27+C28</f>
        <v>264514</v>
      </c>
      <c r="D26" s="86">
        <f>D27+D28</f>
        <v>306714</v>
      </c>
      <c r="E26" s="86">
        <f>E27+E28</f>
        <v>336514</v>
      </c>
      <c r="F26" s="86">
        <f>F27+F28</f>
        <v>355714</v>
      </c>
      <c r="G26" s="87">
        <f>G27+G28</f>
        <v>370209</v>
      </c>
    </row>
    <row r="27" spans="1:7" s="20" customFormat="1" ht="15.75">
      <c r="A27" s="25" t="s">
        <v>274</v>
      </c>
      <c r="B27" s="79"/>
      <c r="C27" s="83">
        <f>Závěrka!F7+Závěrka!F15-C64-C59</f>
        <v>227430</v>
      </c>
      <c r="D27" s="83">
        <f>C27-D64-D59</f>
        <v>269630</v>
      </c>
      <c r="E27" s="83">
        <f>D27-E64-E59</f>
        <v>299430</v>
      </c>
      <c r="F27" s="83">
        <f>E27-F64-F59</f>
        <v>318630</v>
      </c>
      <c r="G27" s="84">
        <f>F27-G64-G59</f>
        <v>333125</v>
      </c>
    </row>
    <row r="28" spans="1:7" s="20" customFormat="1" ht="15.75">
      <c r="A28" s="77" t="s">
        <v>52</v>
      </c>
      <c r="B28" s="88"/>
      <c r="C28" s="89">
        <f>Závěrka!F25</f>
        <v>37084</v>
      </c>
      <c r="D28" s="89">
        <f>C28</f>
        <v>37084</v>
      </c>
      <c r="E28" s="89">
        <f>D28</f>
        <v>37084</v>
      </c>
      <c r="F28" s="89">
        <f>E28</f>
        <v>37084</v>
      </c>
      <c r="G28" s="90">
        <f>F28</f>
        <v>37084</v>
      </c>
    </row>
    <row r="29" spans="1:7" s="1" customFormat="1" ht="15.75">
      <c r="A29" s="9" t="s">
        <v>60</v>
      </c>
      <c r="B29" s="47"/>
      <c r="C29" s="80">
        <f>SUM(C30:C32)</f>
        <v>241396.95239999995</v>
      </c>
      <c r="D29" s="80">
        <f>SUM(D30:D32)</f>
        <v>240474.73383999994</v>
      </c>
      <c r="E29" s="80">
        <f>SUM(E30:E32)</f>
        <v>267784.6532799999</v>
      </c>
      <c r="F29" s="80">
        <f>SUM(F30:F32)</f>
        <v>298557.97871999996</v>
      </c>
      <c r="G29" s="81">
        <f>SUM(G30:G32)</f>
        <v>344331.5021599999</v>
      </c>
    </row>
    <row r="30" spans="1:7" ht="15.75">
      <c r="A30" s="10" t="s">
        <v>62</v>
      </c>
      <c r="B30" s="23"/>
      <c r="C30" s="44">
        <v>196694</v>
      </c>
      <c r="D30" s="44">
        <v>208999</v>
      </c>
      <c r="E30" s="44">
        <v>231345</v>
      </c>
      <c r="F30" s="44">
        <v>246943</v>
      </c>
      <c r="G30" s="27">
        <v>272558</v>
      </c>
    </row>
    <row r="31" spans="1:7" ht="15.75">
      <c r="A31" s="10" t="s">
        <v>275</v>
      </c>
      <c r="B31" s="23"/>
      <c r="C31" s="44">
        <v>8935</v>
      </c>
      <c r="D31" s="44">
        <v>8973</v>
      </c>
      <c r="E31" s="44">
        <v>9932</v>
      </c>
      <c r="F31" s="44">
        <v>10552</v>
      </c>
      <c r="G31" s="27">
        <v>11564</v>
      </c>
    </row>
    <row r="32" spans="1:7" ht="15.75">
      <c r="A32" s="16" t="s">
        <v>276</v>
      </c>
      <c r="B32" s="48"/>
      <c r="C32" s="82">
        <f>C71</f>
        <v>35767.95239999995</v>
      </c>
      <c r="D32" s="82">
        <f>D71</f>
        <v>22502.73383999995</v>
      </c>
      <c r="E32" s="82">
        <f>E71</f>
        <v>26507.653279999937</v>
      </c>
      <c r="F32" s="82">
        <f>F71</f>
        <v>41062.978719999934</v>
      </c>
      <c r="G32" s="28">
        <f>G71</f>
        <v>60209.50215999991</v>
      </c>
    </row>
    <row r="33" spans="1:7" s="1" customFormat="1" ht="15.75">
      <c r="A33" s="14" t="s">
        <v>96</v>
      </c>
      <c r="B33" s="33"/>
      <c r="C33" s="14">
        <v>0</v>
      </c>
      <c r="D33" s="14">
        <v>0</v>
      </c>
      <c r="E33" s="14">
        <v>0</v>
      </c>
      <c r="F33" s="14">
        <v>0</v>
      </c>
      <c r="G33" s="26">
        <v>0</v>
      </c>
    </row>
    <row r="34" spans="1:8" s="1" customFormat="1" ht="15.75">
      <c r="A34"/>
      <c r="B34"/>
      <c r="C34"/>
      <c r="D34"/>
      <c r="E34"/>
      <c r="F34" s="3"/>
      <c r="G34" s="3"/>
      <c r="H34" s="113"/>
    </row>
    <row r="35" spans="1:7" ht="15.75">
      <c r="A35" s="107" t="s">
        <v>308</v>
      </c>
      <c r="B35" s="108"/>
      <c r="C35" s="109" t="s">
        <v>254</v>
      </c>
      <c r="D35" s="109"/>
      <c r="E35" s="109"/>
      <c r="F35" s="109"/>
      <c r="G35" s="109"/>
    </row>
    <row r="36" spans="1:7" ht="15.75">
      <c r="A36" s="110"/>
      <c r="B36" s="111"/>
      <c r="C36" s="111">
        <f>rok</f>
        <v>2010</v>
      </c>
      <c r="D36" s="111">
        <f>C36+1</f>
        <v>2011</v>
      </c>
      <c r="E36" s="111">
        <f>D36+1</f>
        <v>2012</v>
      </c>
      <c r="F36" s="111">
        <f>E36+1</f>
        <v>2013</v>
      </c>
      <c r="G36" s="111">
        <f>F36+1</f>
        <v>2014</v>
      </c>
    </row>
    <row r="37" spans="1:7" ht="15.75">
      <c r="A37" s="14" t="s">
        <v>307</v>
      </c>
      <c r="B37" s="15"/>
      <c r="C37" s="19">
        <f>C38+C43+C51</f>
        <v>505910.9524</v>
      </c>
      <c r="D37" s="19">
        <f>D38+D43+D51</f>
        <v>547188.73384</v>
      </c>
      <c r="E37" s="19">
        <f>E38+E43+E51</f>
        <v>604298.65328</v>
      </c>
      <c r="F37" s="19">
        <f>F38+F43+F51</f>
        <v>654271.97872</v>
      </c>
      <c r="G37" s="19">
        <f>G38+G43+G51</f>
        <v>714540.5021599999</v>
      </c>
    </row>
    <row r="38" spans="1:7" ht="15.75">
      <c r="A38" s="9" t="s">
        <v>104</v>
      </c>
      <c r="B38" s="4"/>
      <c r="C38" s="7">
        <f>SUM(C39:C42)</f>
        <v>123085.9524</v>
      </c>
      <c r="D38" s="7">
        <f>SUM(D39:D42)</f>
        <v>152618.73384</v>
      </c>
      <c r="E38" s="7">
        <f>SUM(E39:E42)</f>
        <v>187926.65327999997</v>
      </c>
      <c r="F38" s="7">
        <f>SUM(F39:F42)</f>
        <v>222369.97872</v>
      </c>
      <c r="G38" s="7">
        <f>SUM(G39:G42)</f>
        <v>257417.40216</v>
      </c>
    </row>
    <row r="39" spans="1:7" ht="15.75">
      <c r="A39" s="21" t="s">
        <v>106</v>
      </c>
      <c r="B39" s="22"/>
      <c r="C39" s="32">
        <f>Závěrka!D70</f>
        <v>25776</v>
      </c>
      <c r="D39" s="32">
        <f>C39</f>
        <v>25776</v>
      </c>
      <c r="E39" s="32">
        <f>D39</f>
        <v>25776</v>
      </c>
      <c r="F39" s="32">
        <f>E39</f>
        <v>25776</v>
      </c>
      <c r="G39" s="32">
        <f>F39</f>
        <v>25776</v>
      </c>
    </row>
    <row r="40" spans="1:7" ht="15.75">
      <c r="A40" s="10" t="s">
        <v>111</v>
      </c>
      <c r="B40" s="5"/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ht="15.75">
      <c r="A41" s="10" t="s">
        <v>277</v>
      </c>
      <c r="B41" s="5"/>
      <c r="C41" s="6">
        <f>Závěrka!D81+Závěrka!D84</f>
        <v>41916.45</v>
      </c>
      <c r="D41" s="6">
        <f>C41+C42-C20</f>
        <v>75152.55144</v>
      </c>
      <c r="E41" s="6">
        <f>D41+D42-D20</f>
        <v>106166.66088</v>
      </c>
      <c r="F41" s="6">
        <f>E41+E42-E20</f>
        <v>139757.05632</v>
      </c>
      <c r="G41" s="6">
        <f>F41+F42-F20</f>
        <v>173859.20976</v>
      </c>
    </row>
    <row r="42" spans="1:7" ht="15.75">
      <c r="A42" s="16" t="s">
        <v>278</v>
      </c>
      <c r="B42" s="17"/>
      <c r="C42" s="18">
        <f>C18</f>
        <v>55393.5024</v>
      </c>
      <c r="D42" s="18">
        <f>D18</f>
        <v>51690.1824</v>
      </c>
      <c r="E42" s="18">
        <f>E18</f>
        <v>55983.992399999996</v>
      </c>
      <c r="F42" s="18">
        <f>F18</f>
        <v>56836.922399999996</v>
      </c>
      <c r="G42" s="18">
        <f>G18</f>
        <v>57782.19239999999</v>
      </c>
    </row>
    <row r="43" spans="1:7" s="1" customFormat="1" ht="15.75">
      <c r="A43" s="9" t="s">
        <v>129</v>
      </c>
      <c r="B43" s="4"/>
      <c r="C43" s="7">
        <f>C44+C45+C46+C50</f>
        <v>382825</v>
      </c>
      <c r="D43" s="7">
        <f>D44+D45+D46+D50</f>
        <v>394570</v>
      </c>
      <c r="E43" s="7">
        <f>E44+E45+E46+E50</f>
        <v>416372</v>
      </c>
      <c r="F43" s="7">
        <f>F44+F45+F46+F50</f>
        <v>431902</v>
      </c>
      <c r="G43" s="7">
        <f>G44+G45+G46+G50</f>
        <v>457123.1</v>
      </c>
    </row>
    <row r="44" spans="1:7" ht="15.75">
      <c r="A44" s="10" t="s">
        <v>130</v>
      </c>
      <c r="B44" s="5"/>
      <c r="C44" s="6">
        <v>0</v>
      </c>
      <c r="D44" s="6">
        <v>0</v>
      </c>
      <c r="E44" s="6">
        <v>0</v>
      </c>
      <c r="F44" s="6">
        <v>0</v>
      </c>
      <c r="G44" s="6">
        <v>0</v>
      </c>
    </row>
    <row r="45" spans="1:7" ht="15.75">
      <c r="A45" s="34" t="s">
        <v>131</v>
      </c>
      <c r="B45" s="35"/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ht="15.75">
      <c r="A46" s="10" t="s">
        <v>132</v>
      </c>
      <c r="B46" s="5"/>
      <c r="C46" s="6">
        <f>SUM(C47:C49)</f>
        <v>194575</v>
      </c>
      <c r="D46" s="6">
        <f>SUM(D47:D49)</f>
        <v>206320</v>
      </c>
      <c r="E46" s="6">
        <f>SUM(E47:E49)</f>
        <v>228122</v>
      </c>
      <c r="F46" s="6">
        <f>SUM(F47:F49)</f>
        <v>243652</v>
      </c>
      <c r="G46" s="6">
        <f>SUM(G47:G49)</f>
        <v>268873.1</v>
      </c>
    </row>
    <row r="47" spans="1:7" ht="15.75">
      <c r="A47" s="10" t="s">
        <v>279</v>
      </c>
      <c r="B47" s="5"/>
      <c r="C47" s="6">
        <v>190381</v>
      </c>
      <c r="D47" s="6">
        <v>202126</v>
      </c>
      <c r="E47" s="6">
        <v>223738</v>
      </c>
      <c r="F47" s="6">
        <v>238746</v>
      </c>
      <c r="G47" s="6">
        <v>263383.1</v>
      </c>
    </row>
    <row r="48" spans="1:7" ht="15.75">
      <c r="A48" s="10" t="s">
        <v>280</v>
      </c>
      <c r="B48" s="5"/>
      <c r="C48" s="6">
        <v>2606</v>
      </c>
      <c r="D48" s="6">
        <v>2606</v>
      </c>
      <c r="E48" s="6">
        <v>2784</v>
      </c>
      <c r="F48" s="6">
        <v>3226</v>
      </c>
      <c r="G48" s="6">
        <v>3585</v>
      </c>
    </row>
    <row r="49" spans="1:7" ht="15.75">
      <c r="A49" s="34" t="s">
        <v>281</v>
      </c>
      <c r="B49" s="35"/>
      <c r="C49" s="36">
        <v>1588</v>
      </c>
      <c r="D49" s="36">
        <v>1588</v>
      </c>
      <c r="E49" s="36">
        <v>1600</v>
      </c>
      <c r="F49" s="36">
        <v>1680</v>
      </c>
      <c r="G49" s="36">
        <v>1905</v>
      </c>
    </row>
    <row r="50" spans="1:7" ht="15.75">
      <c r="A50" s="16" t="s">
        <v>282</v>
      </c>
      <c r="B50" s="17"/>
      <c r="C50" s="18">
        <v>188250</v>
      </c>
      <c r="D50" s="18">
        <v>188250</v>
      </c>
      <c r="E50" s="18">
        <v>188250</v>
      </c>
      <c r="F50" s="18">
        <v>188250</v>
      </c>
      <c r="G50" s="18">
        <v>188250</v>
      </c>
    </row>
    <row r="51" spans="1:7" s="1" customFormat="1" ht="15.75">
      <c r="A51" s="14" t="s">
        <v>96</v>
      </c>
      <c r="B51" s="15"/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s="1" customFormat="1" ht="15.75">
      <c r="A52"/>
      <c r="B52"/>
      <c r="C52"/>
      <c r="D52"/>
      <c r="E52"/>
      <c r="F52"/>
      <c r="G52"/>
    </row>
    <row r="53" s="1" customFormat="1" ht="18.75">
      <c r="A53" s="112" t="s">
        <v>283</v>
      </c>
    </row>
    <row r="54" spans="1:7" ht="15.75">
      <c r="A54" s="107" t="s">
        <v>343</v>
      </c>
      <c r="B54" s="108"/>
      <c r="C54" s="109" t="s">
        <v>254</v>
      </c>
      <c r="D54" s="109"/>
      <c r="E54" s="109"/>
      <c r="F54" s="109"/>
      <c r="G54" s="109"/>
    </row>
    <row r="55" spans="1:7" ht="15.75">
      <c r="A55" s="110"/>
      <c r="B55" s="111"/>
      <c r="C55" s="111">
        <f>rok</f>
        <v>2010</v>
      </c>
      <c r="D55" s="111">
        <f>C55+1</f>
        <v>2011</v>
      </c>
      <c r="E55" s="111">
        <f>D55+1</f>
        <v>2012</v>
      </c>
      <c r="F55" s="111">
        <f>E55+1</f>
        <v>2013</v>
      </c>
      <c r="G55" s="111">
        <f>F55+1</f>
        <v>2014</v>
      </c>
    </row>
    <row r="56" spans="1:7" s="37" customFormat="1" ht="15.75">
      <c r="A56" s="41" t="s">
        <v>284</v>
      </c>
      <c r="B56" s="42"/>
      <c r="C56" s="43">
        <f>Závěrka!F55</f>
        <v>72201.44999999995</v>
      </c>
      <c r="D56" s="43">
        <f>C71</f>
        <v>35767.95239999995</v>
      </c>
      <c r="E56" s="43">
        <f>D71</f>
        <v>22502.73383999995</v>
      </c>
      <c r="F56" s="43">
        <f>E71</f>
        <v>26507.653279999937</v>
      </c>
      <c r="G56" s="43">
        <f>F71</f>
        <v>41062.978719999934</v>
      </c>
    </row>
    <row r="57" spans="1:7" ht="15.75">
      <c r="A57" s="10" t="s">
        <v>285</v>
      </c>
      <c r="B57" s="5"/>
      <c r="C57" s="6">
        <f>C18</f>
        <v>55393.5024</v>
      </c>
      <c r="D57" s="6">
        <f>D18</f>
        <v>51690.1824</v>
      </c>
      <c r="E57" s="6">
        <f>E18</f>
        <v>55983.992399999996</v>
      </c>
      <c r="F57" s="6">
        <f>F18</f>
        <v>56836.922399999996</v>
      </c>
      <c r="G57" s="6">
        <f>G18</f>
        <v>57782.19239999999</v>
      </c>
    </row>
    <row r="58" spans="1:7" ht="15.75">
      <c r="A58" s="10" t="s">
        <v>286</v>
      </c>
      <c r="B58" s="5"/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ht="15.75">
      <c r="A59" s="10" t="s">
        <v>256</v>
      </c>
      <c r="B59" s="5"/>
      <c r="C59" s="6">
        <f>C9</f>
        <v>7300</v>
      </c>
      <c r="D59" s="6">
        <f>D9</f>
        <v>7800</v>
      </c>
      <c r="E59" s="6">
        <f>E9</f>
        <v>10200</v>
      </c>
      <c r="F59" s="6">
        <f>F9</f>
        <v>10800</v>
      </c>
      <c r="G59" s="6">
        <f>G9</f>
        <v>12505</v>
      </c>
    </row>
    <row r="60" spans="1:7" ht="15.75">
      <c r="A60" s="10" t="s">
        <v>287</v>
      </c>
      <c r="B60" s="5"/>
      <c r="C60" s="6">
        <f>-(C30-Závěrka!F32)</f>
        <v>4588</v>
      </c>
      <c r="D60" s="6">
        <f aca="true" t="shared" si="0" ref="D60:G61">-(D30-C30)</f>
        <v>-12305</v>
      </c>
      <c r="E60" s="6">
        <f t="shared" si="0"/>
        <v>-22346</v>
      </c>
      <c r="F60" s="6">
        <f t="shared" si="0"/>
        <v>-15598</v>
      </c>
      <c r="G60" s="6">
        <f t="shared" si="0"/>
        <v>-25615</v>
      </c>
    </row>
    <row r="61" spans="1:7" ht="15.75">
      <c r="A61" s="10" t="s">
        <v>288</v>
      </c>
      <c r="B61" s="5"/>
      <c r="C61" s="6">
        <f>-(C31-Závěrka!F45)</f>
        <v>604</v>
      </c>
      <c r="D61" s="6">
        <f t="shared" si="0"/>
        <v>-38</v>
      </c>
      <c r="E61" s="6">
        <f t="shared" si="0"/>
        <v>-959</v>
      </c>
      <c r="F61" s="6">
        <f t="shared" si="0"/>
        <v>-620</v>
      </c>
      <c r="G61" s="6">
        <f t="shared" si="0"/>
        <v>-1012</v>
      </c>
    </row>
    <row r="62" spans="1:7" ht="15.75">
      <c r="A62" s="10" t="s">
        <v>289</v>
      </c>
      <c r="B62" s="5"/>
      <c r="C62" s="6">
        <f>C46-Závěrka!D88</f>
        <v>-36569</v>
      </c>
      <c r="D62" s="6">
        <f>(D46-C46)</f>
        <v>11745</v>
      </c>
      <c r="E62" s="6">
        <f>(E46-D46)</f>
        <v>21802</v>
      </c>
      <c r="F62" s="6">
        <f>(F46-E46)</f>
        <v>15530</v>
      </c>
      <c r="G62" s="6">
        <f>(G46-F46)</f>
        <v>25221.099999999977</v>
      </c>
    </row>
    <row r="63" spans="1:7" s="1" customFormat="1" ht="15.75">
      <c r="A63" s="14" t="s">
        <v>290</v>
      </c>
      <c r="B63" s="15"/>
      <c r="C63" s="19">
        <f>SUM(C57:C62)</f>
        <v>31316.502399999998</v>
      </c>
      <c r="D63" s="19">
        <f>SUM(D57:D62)</f>
        <v>58892.1824</v>
      </c>
      <c r="E63" s="19">
        <f>SUM(E57:E62)</f>
        <v>64680.99239999999</v>
      </c>
      <c r="F63" s="19">
        <f>SUM(F57:F62)</f>
        <v>66948.9224</v>
      </c>
      <c r="G63" s="19">
        <f>SUM(G57:G62)</f>
        <v>68881.29239999998</v>
      </c>
    </row>
    <row r="64" spans="1:7" ht="15.75">
      <c r="A64" s="10" t="s">
        <v>291</v>
      </c>
      <c r="B64" s="5"/>
      <c r="C64" s="6">
        <v>-5000</v>
      </c>
      <c r="D64" s="6">
        <v>-50000</v>
      </c>
      <c r="E64" s="6">
        <v>-40000</v>
      </c>
      <c r="F64" s="6">
        <v>-30000</v>
      </c>
      <c r="G64" s="6">
        <v>-27000</v>
      </c>
    </row>
    <row r="65" spans="1:7" s="1" customFormat="1" ht="15.75">
      <c r="A65" s="14" t="s">
        <v>292</v>
      </c>
      <c r="B65" s="15"/>
      <c r="C65" s="19">
        <f>C64</f>
        <v>-5000</v>
      </c>
      <c r="D65" s="19">
        <f>D64</f>
        <v>-50000</v>
      </c>
      <c r="E65" s="19">
        <f>E64</f>
        <v>-40000</v>
      </c>
      <c r="F65" s="19">
        <f>F64</f>
        <v>-30000</v>
      </c>
      <c r="G65" s="19">
        <f>G64</f>
        <v>-27000</v>
      </c>
    </row>
    <row r="66" spans="1:7" ht="15.75">
      <c r="A66" s="10" t="s">
        <v>293</v>
      </c>
      <c r="B66" s="5"/>
      <c r="C66" s="6">
        <f>C50-Závěrka!D100</f>
        <v>-62750</v>
      </c>
      <c r="D66" s="6">
        <f>D50-C50</f>
        <v>0</v>
      </c>
      <c r="E66" s="6">
        <f>E50-D50</f>
        <v>0</v>
      </c>
      <c r="F66" s="6">
        <f>F50-E50</f>
        <v>0</v>
      </c>
      <c r="G66" s="6">
        <f>G50-F50</f>
        <v>0</v>
      </c>
    </row>
    <row r="67" spans="1:7" ht="15.75">
      <c r="A67" s="10" t="s">
        <v>309</v>
      </c>
      <c r="B67" s="5"/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ht="15.75">
      <c r="A68" s="10" t="s">
        <v>294</v>
      </c>
      <c r="B68" s="5"/>
      <c r="C68" s="6">
        <f>-B20</f>
        <v>0</v>
      </c>
      <c r="D68" s="6">
        <f>-C20</f>
        <v>-22157.40096</v>
      </c>
      <c r="E68" s="6">
        <f>-D20</f>
        <v>-20676.07296</v>
      </c>
      <c r="F68" s="6">
        <f>-E20</f>
        <v>-22393.59696</v>
      </c>
      <c r="G68" s="6">
        <f>-F20</f>
        <v>-22734.76896</v>
      </c>
    </row>
    <row r="69" spans="1:7" s="1" customFormat="1" ht="15.75">
      <c r="A69" s="14" t="s">
        <v>295</v>
      </c>
      <c r="B69" s="15"/>
      <c r="C69" s="19">
        <f>SUM(C66:C68)</f>
        <v>-62750</v>
      </c>
      <c r="D69" s="19">
        <f>SUM(D66:D68)</f>
        <v>-22157.40096</v>
      </c>
      <c r="E69" s="19">
        <f>SUM(E66:E68)</f>
        <v>-20676.07296</v>
      </c>
      <c r="F69" s="19">
        <f>SUM(F66:F68)</f>
        <v>-22393.59696</v>
      </c>
      <c r="G69" s="19">
        <f>SUM(G66:G68)</f>
        <v>-22734.76896</v>
      </c>
    </row>
    <row r="70" spans="1:7" s="1" customFormat="1" ht="15.75">
      <c r="A70" s="14" t="s">
        <v>296</v>
      </c>
      <c r="B70" s="15"/>
      <c r="C70" s="19">
        <f>C63+C65+C69</f>
        <v>-36433.4976</v>
      </c>
      <c r="D70" s="19">
        <f>D63+D65+D69</f>
        <v>-13265.218560000001</v>
      </c>
      <c r="E70" s="19">
        <f>E63+E65+E69</f>
        <v>4004.919439999987</v>
      </c>
      <c r="F70" s="19">
        <f>F63+F65+F69</f>
        <v>14555.325439999997</v>
      </c>
      <c r="G70" s="19">
        <f>G63+G65+G69</f>
        <v>19146.523439999975</v>
      </c>
    </row>
    <row r="71" spans="1:7" s="37" customFormat="1" ht="15.75">
      <c r="A71" s="38" t="s">
        <v>297</v>
      </c>
      <c r="B71" s="40"/>
      <c r="C71" s="39">
        <f>C56+C70</f>
        <v>35767.95239999995</v>
      </c>
      <c r="D71" s="39">
        <f>D56+D70</f>
        <v>22502.73383999995</v>
      </c>
      <c r="E71" s="39">
        <f>E56+E70</f>
        <v>26507.653279999937</v>
      </c>
      <c r="F71" s="39">
        <f>F56+F70</f>
        <v>41062.978719999934</v>
      </c>
      <c r="G71" s="39">
        <f>G56+G70</f>
        <v>60209.50215999991</v>
      </c>
    </row>
    <row r="73" spans="1:7" ht="18">
      <c r="A73" s="125" t="s">
        <v>253</v>
      </c>
      <c r="B73" s="117"/>
      <c r="C73" s="117"/>
      <c r="D73" s="117"/>
      <c r="E73" s="117"/>
      <c r="F73" s="117"/>
      <c r="G73" s="117"/>
    </row>
  </sheetData>
  <sheetProtection/>
  <printOptions headings="1" horizontalCentered="1"/>
  <pageMargins left="0.7874015748031497" right="0.7874015748031497" top="0.3937007874015748" bottom="0.3937007874015748" header="0.11811023622047245" footer="0.11811023622047245"/>
  <pageSetup horizontalDpi="180" verticalDpi="180" orientation="portrait" paperSize="9" scale="90" r:id="rId1"/>
  <headerFooter alignWithMargins="0">
    <oddHeader>&amp;C&amp;A</oddHeader>
    <oddFooter>&amp;CStrana &amp;P</oddFooter>
  </headerFooter>
  <rowBreaks count="1" manualBreakCount="1">
    <brk id="214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A1">
      <selection activeCell="A1" sqref="A1"/>
    </sheetView>
  </sheetViews>
  <sheetFormatPr defaultColWidth="8" defaultRowHeight="15"/>
  <cols>
    <col min="1" max="1" width="27.09765625" style="138" customWidth="1"/>
    <col min="2" max="8" width="7.5" style="138" customWidth="1"/>
    <col min="9" max="9" width="1.203125" style="138" customWidth="1"/>
    <col min="10" max="10" width="9" style="138" customWidth="1"/>
    <col min="11" max="16384" width="8" style="138" customWidth="1"/>
  </cols>
  <sheetData>
    <row r="1" spans="1:8" ht="20.25">
      <c r="A1" s="106" t="s">
        <v>313</v>
      </c>
      <c r="B1" s="137"/>
      <c r="C1" s="137"/>
      <c r="D1" s="137"/>
      <c r="E1" s="137"/>
      <c r="F1" s="137"/>
      <c r="G1" s="137"/>
      <c r="H1" s="137"/>
    </row>
    <row r="2" spans="1:8" ht="15.75">
      <c r="A2" s="137"/>
      <c r="B2" s="137"/>
      <c r="C2" s="137"/>
      <c r="D2" s="137"/>
      <c r="E2" s="137"/>
      <c r="F2" s="137"/>
      <c r="G2" s="137"/>
      <c r="H2" s="137"/>
    </row>
    <row r="3" spans="1:8" ht="21.75" customHeight="1">
      <c r="A3" s="139" t="s">
        <v>314</v>
      </c>
      <c r="B3" s="137"/>
      <c r="C3" s="137"/>
      <c r="D3" s="137"/>
      <c r="E3" s="137"/>
      <c r="F3" s="137"/>
      <c r="G3" s="137"/>
      <c r="H3" s="137"/>
    </row>
    <row r="4" spans="1:9" ht="15">
      <c r="A4" s="140" t="s">
        <v>315</v>
      </c>
      <c r="B4" s="141"/>
      <c r="C4" s="141" t="s">
        <v>318</v>
      </c>
      <c r="D4" s="141"/>
      <c r="E4" s="142"/>
      <c r="F4" s="142"/>
      <c r="G4" s="142"/>
      <c r="H4" s="142"/>
      <c r="I4" s="143"/>
    </row>
    <row r="5" spans="1:9" ht="15">
      <c r="A5" s="140"/>
      <c r="B5" s="144"/>
      <c r="C5" s="141" t="s">
        <v>319</v>
      </c>
      <c r="D5" s="141"/>
      <c r="E5" s="142"/>
      <c r="F5" s="142"/>
      <c r="G5" s="142"/>
      <c r="H5" s="142"/>
      <c r="I5" s="143"/>
    </row>
    <row r="6" spans="1:9" ht="15">
      <c r="A6" s="140"/>
      <c r="B6" s="144"/>
      <c r="C6" s="141"/>
      <c r="D6" s="141"/>
      <c r="E6" s="142"/>
      <c r="F6" s="142"/>
      <c r="G6" s="142"/>
      <c r="H6" s="142"/>
      <c r="I6" s="143"/>
    </row>
    <row r="7" spans="1:9" ht="15">
      <c r="A7" s="140" t="s">
        <v>320</v>
      </c>
      <c r="B7" s="144"/>
      <c r="C7" s="141"/>
      <c r="D7" s="141"/>
      <c r="E7" s="142"/>
      <c r="F7" s="142"/>
      <c r="G7" s="142"/>
      <c r="H7" s="142"/>
      <c r="I7" s="143"/>
    </row>
    <row r="8" spans="1:9" ht="15">
      <c r="A8" s="140"/>
      <c r="B8" s="144"/>
      <c r="C8" s="141"/>
      <c r="D8" s="141"/>
      <c r="E8" s="142"/>
      <c r="F8" s="142"/>
      <c r="G8" s="142"/>
      <c r="H8" s="142"/>
      <c r="I8" s="143"/>
    </row>
    <row r="9" spans="1:8" ht="15.75">
      <c r="A9" s="145" t="s">
        <v>316</v>
      </c>
      <c r="B9" s="137"/>
      <c r="C9" s="137"/>
      <c r="D9" s="137"/>
      <c r="E9" s="137"/>
      <c r="F9" s="137"/>
      <c r="G9" s="137"/>
      <c r="H9" s="137"/>
    </row>
    <row r="10" spans="1:8" ht="15.75">
      <c r="A10" s="145"/>
      <c r="B10" s="137"/>
      <c r="C10" s="137"/>
      <c r="D10" s="137"/>
      <c r="E10" s="137"/>
      <c r="F10" s="137"/>
      <c r="G10" s="137"/>
      <c r="H10" s="137"/>
    </row>
    <row r="11" spans="1:8" ht="15.75">
      <c r="A11" s="173" t="s">
        <v>347</v>
      </c>
      <c r="B11" s="146">
        <v>0.11</v>
      </c>
      <c r="C11" s="174" t="s">
        <v>348</v>
      </c>
      <c r="D11" s="137"/>
      <c r="E11" s="137"/>
      <c r="F11" s="137"/>
      <c r="G11" s="137"/>
      <c r="H11" s="137"/>
    </row>
    <row r="12" spans="1:8" ht="15.75">
      <c r="A12" s="147"/>
      <c r="B12" s="154"/>
      <c r="C12" s="137"/>
      <c r="D12" s="137"/>
      <c r="E12" s="137"/>
      <c r="F12" s="137"/>
      <c r="G12" s="137"/>
      <c r="H12" s="137"/>
    </row>
    <row r="13" spans="1:8" ht="15.75">
      <c r="A13" s="149" t="s">
        <v>344</v>
      </c>
      <c r="B13" s="156"/>
      <c r="C13" s="155"/>
      <c r="D13" s="137"/>
      <c r="E13" s="137"/>
      <c r="F13" s="137"/>
      <c r="G13" s="137"/>
      <c r="H13" s="137"/>
    </row>
    <row r="14" spans="1:8" ht="15.75">
      <c r="A14" s="147" t="s">
        <v>317</v>
      </c>
      <c r="B14" s="148">
        <v>0.03</v>
      </c>
      <c r="C14" s="137"/>
      <c r="D14" s="137"/>
      <c r="E14" s="137"/>
      <c r="F14" s="137"/>
      <c r="G14" s="137"/>
      <c r="H14" s="137"/>
    </row>
    <row r="15" spans="1:8" ht="15.75">
      <c r="A15" s="149" t="s">
        <v>321</v>
      </c>
      <c r="B15" s="150">
        <v>0.12</v>
      </c>
      <c r="C15" s="151"/>
      <c r="D15" s="137"/>
      <c r="E15" s="137"/>
      <c r="F15" s="137"/>
      <c r="G15" s="137"/>
      <c r="H15" s="137"/>
    </row>
    <row r="16" spans="1:8" ht="15.75">
      <c r="A16" s="145"/>
      <c r="B16" s="137"/>
      <c r="C16" s="137"/>
      <c r="D16" s="137"/>
      <c r="E16" s="137"/>
      <c r="F16" s="137"/>
      <c r="G16" s="137"/>
      <c r="H16" s="137"/>
    </row>
    <row r="17" spans="1:8" ht="15.75">
      <c r="A17" s="157" t="s">
        <v>322</v>
      </c>
      <c r="B17" s="137"/>
      <c r="C17" s="137"/>
      <c r="D17" s="137"/>
      <c r="E17" s="137"/>
      <c r="F17" s="137"/>
      <c r="G17" s="137"/>
      <c r="H17" s="137"/>
    </row>
    <row r="18" spans="1:8" ht="15.75">
      <c r="A18" s="158" t="s">
        <v>323</v>
      </c>
      <c r="B18" s="159"/>
      <c r="C18" s="160">
        <v>9</v>
      </c>
      <c r="E18" s="137"/>
      <c r="F18" s="137"/>
      <c r="G18" s="137"/>
      <c r="H18" s="137"/>
    </row>
    <row r="19" spans="1:8" ht="15.75">
      <c r="A19" s="174" t="s">
        <v>351</v>
      </c>
      <c r="B19" s="155"/>
      <c r="C19" s="155"/>
      <c r="D19" s="174"/>
      <c r="E19" s="137"/>
      <c r="F19" s="137"/>
      <c r="G19" s="137"/>
      <c r="H19" s="137"/>
    </row>
    <row r="21" spans="1:7" ht="18">
      <c r="A21" s="152" t="s">
        <v>253</v>
      </c>
      <c r="B21" s="153"/>
      <c r="C21" s="153"/>
      <c r="D21" s="153"/>
      <c r="E21" s="153"/>
      <c r="F21" s="153"/>
      <c r="G21" s="153"/>
    </row>
  </sheetData>
  <sheetProtection/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selection activeCell="A1" sqref="A1"/>
    </sheetView>
  </sheetViews>
  <sheetFormatPr defaultColWidth="8" defaultRowHeight="15"/>
  <cols>
    <col min="1" max="1" width="34.5" style="138" customWidth="1"/>
    <col min="2" max="7" width="9.5" style="138" customWidth="1"/>
    <col min="8" max="8" width="7.5" style="138" customWidth="1"/>
    <col min="9" max="9" width="1.203125" style="138" customWidth="1"/>
    <col min="10" max="10" width="9" style="138" customWidth="1"/>
    <col min="11" max="16384" width="8" style="138" customWidth="1"/>
  </cols>
  <sheetData>
    <row r="1" spans="1:8" ht="20.25">
      <c r="A1" s="106" t="s">
        <v>331</v>
      </c>
      <c r="B1" s="137"/>
      <c r="C1" s="137"/>
      <c r="D1" s="137"/>
      <c r="E1" s="137"/>
      <c r="F1" s="137"/>
      <c r="G1" s="137"/>
      <c r="H1" s="137"/>
    </row>
    <row r="2" spans="1:8" ht="16.5" customHeight="1">
      <c r="A2" s="106"/>
      <c r="B2" s="137"/>
      <c r="C2" s="137"/>
      <c r="D2" s="137"/>
      <c r="E2" s="137"/>
      <c r="F2" s="137"/>
      <c r="G2" s="137"/>
      <c r="H2" s="137"/>
    </row>
    <row r="3" spans="1:8" ht="16.5" customHeight="1">
      <c r="A3" s="164" t="s">
        <v>255</v>
      </c>
      <c r="B3" s="165">
        <f>rok-1</f>
        <v>2009</v>
      </c>
      <c r="C3" s="166">
        <f>B3+1</f>
        <v>2010</v>
      </c>
      <c r="D3" s="166">
        <f>C3+1</f>
        <v>2011</v>
      </c>
      <c r="E3" s="166">
        <f>D3+1</f>
        <v>2012</v>
      </c>
      <c r="F3" s="166">
        <f>E3+1</f>
        <v>2013</v>
      </c>
      <c r="G3" s="166">
        <f>F3+1</f>
        <v>2014</v>
      </c>
      <c r="H3" s="137"/>
    </row>
    <row r="4" spans="1:8" ht="16.5" customHeight="1">
      <c r="A4" s="167" t="s">
        <v>332</v>
      </c>
      <c r="B4" s="168">
        <v>219407</v>
      </c>
      <c r="C4" s="168">
        <v>248484</v>
      </c>
      <c r="D4" s="168">
        <v>291282</v>
      </c>
      <c r="E4" s="168">
        <v>322585</v>
      </c>
      <c r="F4" s="168">
        <v>342473</v>
      </c>
      <c r="G4" s="168">
        <v>358373.9</v>
      </c>
      <c r="H4" s="137"/>
    </row>
    <row r="5" spans="1:8" ht="16.5" customHeight="1">
      <c r="A5" s="169" t="s">
        <v>298</v>
      </c>
      <c r="B5" s="170"/>
      <c r="C5" s="168">
        <v>34679.72</v>
      </c>
      <c r="D5" s="168">
        <v>14713.620000000003</v>
      </c>
      <c r="E5" s="168">
        <v>30502.43000000001</v>
      </c>
      <c r="F5" s="168">
        <v>42770.35999999996</v>
      </c>
      <c r="G5" s="168">
        <v>47702.729999999996</v>
      </c>
      <c r="H5" s="137"/>
    </row>
    <row r="6" spans="1:8" ht="16.5" customHeight="1">
      <c r="A6" s="106"/>
      <c r="B6" s="137"/>
      <c r="C6" s="137"/>
      <c r="D6" s="137"/>
      <c r="E6" s="137"/>
      <c r="F6" s="137"/>
      <c r="G6" s="137"/>
      <c r="H6" s="137"/>
    </row>
    <row r="7" spans="1:9" ht="14.25" customHeight="1">
      <c r="A7" s="116"/>
      <c r="B7" s="114" t="s">
        <v>300</v>
      </c>
      <c r="C7" s="114" t="s">
        <v>301</v>
      </c>
      <c r="D7" s="114" t="s">
        <v>302</v>
      </c>
      <c r="E7" s="114" t="s">
        <v>341</v>
      </c>
      <c r="F7" s="137"/>
      <c r="G7" s="137"/>
      <c r="H7" s="137"/>
      <c r="I7" s="137"/>
    </row>
    <row r="8" spans="1:9" ht="27" customHeight="1">
      <c r="A8" s="24"/>
      <c r="B8" s="115" t="s">
        <v>303</v>
      </c>
      <c r="C8" s="115" t="s">
        <v>340</v>
      </c>
      <c r="D8" s="115" t="s">
        <v>304</v>
      </c>
      <c r="E8" s="115" t="s">
        <v>305</v>
      </c>
      <c r="F8" s="137"/>
      <c r="G8" s="137"/>
      <c r="H8" s="137"/>
      <c r="I8" s="137"/>
    </row>
    <row r="9" spans="1:9" ht="16.5" customHeight="1">
      <c r="A9" s="24" t="s">
        <v>299</v>
      </c>
      <c r="B9" s="18">
        <v>433661.18181818177</v>
      </c>
      <c r="C9" s="18">
        <v>614172.64875</v>
      </c>
      <c r="D9" s="18">
        <v>614172.5521874999</v>
      </c>
      <c r="E9" s="18">
        <v>572432.6699999999</v>
      </c>
      <c r="F9" s="137"/>
      <c r="G9" s="137"/>
      <c r="H9" s="137"/>
      <c r="I9" s="137"/>
    </row>
    <row r="10" spans="1:9" ht="16.5" customHeight="1">
      <c r="A10" s="24" t="s">
        <v>333</v>
      </c>
      <c r="B10" s="18">
        <v>227613.67263725004</v>
      </c>
      <c r="C10" s="18">
        <v>334738.44241773617</v>
      </c>
      <c r="D10" s="18">
        <v>334738.38511259225</v>
      </c>
      <c r="E10" s="18">
        <v>309967.79659541266</v>
      </c>
      <c r="F10" s="137"/>
      <c r="G10" s="137"/>
      <c r="H10" s="137"/>
      <c r="I10" s="137"/>
    </row>
    <row r="11" spans="1:8" ht="16.5" customHeight="1">
      <c r="A11" s="106"/>
      <c r="B11" s="137"/>
      <c r="C11" s="137"/>
      <c r="D11" s="137"/>
      <c r="E11" s="137"/>
      <c r="F11" s="137"/>
      <c r="G11" s="137"/>
      <c r="H11" s="137"/>
    </row>
    <row r="12" spans="1:7" ht="18">
      <c r="A12" s="152" t="s">
        <v>253</v>
      </c>
      <c r="B12" s="153"/>
      <c r="C12" s="153"/>
      <c r="D12" s="153"/>
      <c r="E12" s="153"/>
      <c r="F12" s="153"/>
      <c r="G12" s="153"/>
    </row>
  </sheetData>
  <sheetProtection/>
  <printOptions headings="1"/>
  <pageMargins left="0.3937007874015748" right="0.3937007874015748" top="0.98425196850393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ABC - případová studie</dc:title>
  <dc:subject>Oceňování podniku</dc:subject>
  <dc:creator>Marik</dc:creator>
  <cp:keywords/>
  <dc:description/>
  <cp:lastModifiedBy>User</cp:lastModifiedBy>
  <cp:lastPrinted>2007-12-03T09:35:12Z</cp:lastPrinted>
  <dcterms:created xsi:type="dcterms:W3CDTF">2003-03-28T11:55:58Z</dcterms:created>
  <dcterms:modified xsi:type="dcterms:W3CDTF">2009-10-29T18:47:44Z</dcterms:modified>
  <cp:category/>
  <cp:version/>
  <cp:contentType/>
  <cp:contentStatus/>
</cp:coreProperties>
</file>